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03"/>
  <workbookPr codeName="ThisWorkbook" defaultThemeVersion="124226"/>
  <mc:AlternateContent xmlns:mc="http://schemas.openxmlformats.org/markup-compatibility/2006">
    <mc:Choice Requires="x15">
      <x15ac:absPath xmlns:x15ac="http://schemas.microsoft.com/office/spreadsheetml/2010/11/ac" url="https://environmentnswgov.sharepoint.com/sites/MST_MLO_CemeteriesCrematoriaNSW/Shared Documents/Major projects/Interment Industry Scheme/Explanatory material and templates/Pricing Transparency/Final pricing materials for December publication/"/>
    </mc:Choice>
  </mc:AlternateContent>
  <xr:revisionPtr revIDLastSave="95" documentId="8_{FF26357F-6E7A-40F5-9D8F-05A89D0760AD}" xr6:coauthVersionLast="47" xr6:coauthVersionMax="47" xr10:uidLastSave="{C0BFC3B2-5839-4301-90BD-6467ABFB971D}"/>
  <workbookProtection workbookAlgorithmName="SHA-512" workbookHashValue="wT7zdGk2qsSIuL9TOfSGzxCYhRnfs8JXkQsAIqursZAad0EMlWT5Uq8TyFms6L7e2fis+Lh5g356h4EIRBjcMw==" workbookSaltValue="9kX8SKKiPOu1ac3n5JOV1Q==" workbookSpinCount="100000" lockStructure="1"/>
  <bookViews>
    <workbookView xWindow="-120" yWindow="-120" windowWidth="29040" windowHeight="15840" tabRatio="801" firstSheet="5" activeTab="5" xr2:uid="{00000000-000D-0000-FFFF-FFFF00000000}"/>
  </bookViews>
  <sheets>
    <sheet name="Disclaimer" sheetId="31" r:id="rId1"/>
    <sheet name="Introduction" sheetId="2" r:id="rId2"/>
    <sheet name="Contents" sheetId="1" r:id="rId3"/>
    <sheet name="Principles" sheetId="30" r:id="rId4"/>
    <sheet name="Basic Cremation" sheetId="29" r:id="rId5"/>
    <sheet name="Basic Burial and Memorial" sheetId="15" r:id="rId6"/>
    <sheet name="Interment" sheetId="23" r:id="rId7"/>
    <sheet name="Right_of_Interment" sheetId="24" r:id="rId8"/>
    <sheet name="Crematorium" sheetId="25" r:id="rId9"/>
    <sheet name="Land Value" sheetId="27" r:id="rId10"/>
    <sheet name="Site Development" sheetId="28" r:id="rId11"/>
    <sheet name="Operating Costs Summary" sheetId="17" r:id="rId12"/>
    <sheet name="Salary Wage Cost Inputs" sheetId="26" r:id="rId13"/>
    <sheet name="Operating Cost Inputs" sheetId="16" r:id="rId14"/>
    <sheet name="Other Cost Inputs" sheetId="18" r:id="rId15"/>
    <sheet name="Plant and Equipment Inputs" sheetId="19" r:id="rId16"/>
  </sheets>
  <definedNames>
    <definedName name="A_File_Long">LEFT(CELL("filename"),FIND("]",CELL("filename")))</definedName>
    <definedName name="A_Name_File">Introduction!$D$46</definedName>
    <definedName name="A_Name_Model">Introduction!$D$44</definedName>
    <definedName name="CostOfCremationServices">Crematorium!$D$13:$J$19</definedName>
    <definedName name="CostPerInterment">Interment!$D$15:$I$21</definedName>
    <definedName name="CostPerSite">Right_of_Interment!$D$15:$M$21</definedName>
    <definedName name="CremationServiceFees">'Basic Cremation'!$J$10:$J$26</definedName>
    <definedName name="Input_CapitalAllocation">Tbl_Capital[Plant and Equipment]</definedName>
    <definedName name="Input_CrematoriumContractors">Crematorium!$D$62:$J$62</definedName>
    <definedName name="Input_MaintenanceContractors">Right_of_Interment!$D$61:$M$61</definedName>
    <definedName name="Input_OtherOperatingCosts">Tbl_Other_OPEX[Other Costs]</definedName>
    <definedName name="Input_ThirdParty">TBL_PassThroughCosts[Pass Through Costs]</definedName>
    <definedName name="Inputs_AdministrativeCosts">Tbl_Admin[Administrative Costs]</definedName>
    <definedName name="Inputs_CremationCosts">Tbl_Crem[Cremation Costs]</definedName>
    <definedName name="Inputs_GardeningHorticulture">Tbl_GardenHort[Gardening &amp; Horticultural]</definedName>
    <definedName name="Inputs_OtherStaffCosts">Tbl_OnCosts[Other Staff Costs]</definedName>
    <definedName name="Inputs_PlantEquipemtCosts">Tbl_PE_OPEX[Plant and Equipment Expenses]</definedName>
    <definedName name="Inputs_SalariesWages">Tbl_SalariesWages[Cemetery Services]</definedName>
    <definedName name="Investment_Rate">Principles!$E$72</definedName>
    <definedName name="Lst_Crematorium">Crematorium!$D$13:$J$13</definedName>
    <definedName name="Lst_Developments">'Site Development'!$D$37:$M$37</definedName>
    <definedName name="Lst_Interments">Interment!$D$47:$I$47</definedName>
    <definedName name="Lst_LandValue">Tbl_LandValue[Site Description]</definedName>
    <definedName name="Lst_RightOfInterment">Right_of_Interment!$D$49:$M$49</definedName>
    <definedName name="_xlnm.Print_Area" localSheetId="5">'Basic Burial and Memorial'!$B$8:$F$29</definedName>
    <definedName name="_xlnm.Print_Area" localSheetId="4">'Basic Cremation'!$B$10:$F$26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5" l="1"/>
  <c r="D63" i="25"/>
  <c r="E63" i="25"/>
  <c r="F63" i="25"/>
  <c r="G63" i="25"/>
  <c r="H63" i="25"/>
  <c r="I63" i="25"/>
  <c r="J63" i="25"/>
  <c r="D62" i="24"/>
  <c r="E62" i="24"/>
  <c r="F62" i="24"/>
  <c r="G62" i="24"/>
  <c r="H62" i="24"/>
  <c r="I62" i="24"/>
  <c r="J62" i="24"/>
  <c r="K62" i="24"/>
  <c r="L62" i="24"/>
  <c r="M62" i="24"/>
  <c r="D60" i="23"/>
  <c r="E60" i="23"/>
  <c r="F60" i="23"/>
  <c r="G60" i="23"/>
  <c r="H60" i="23"/>
  <c r="I60" i="23"/>
  <c r="E15" i="18"/>
  <c r="K15" i="18" s="1"/>
  <c r="E16" i="18"/>
  <c r="K16" i="18" s="1"/>
  <c r="E17" i="18"/>
  <c r="K17" i="18" s="1"/>
  <c r="E18" i="18"/>
  <c r="K18" i="18" s="1"/>
  <c r="E14" i="18"/>
  <c r="K14" i="18" s="1"/>
  <c r="E13" i="18"/>
  <c r="K13" i="18" s="1"/>
  <c r="E11" i="18"/>
  <c r="K11" i="18" s="1"/>
  <c r="E12" i="18"/>
  <c r="K12" i="18" s="1"/>
  <c r="J19" i="18"/>
  <c r="H16" i="17" s="1"/>
  <c r="I19" i="18"/>
  <c r="G16" i="17" s="1"/>
  <c r="H19" i="18"/>
  <c r="F16" i="17" s="1"/>
  <c r="L38" i="25" s="1"/>
  <c r="G19" i="18"/>
  <c r="E16" i="17" s="1"/>
  <c r="O40" i="24" s="1"/>
  <c r="F40" i="24" s="1"/>
  <c r="F19" i="18"/>
  <c r="D16" i="17" s="1"/>
  <c r="D19" i="18"/>
  <c r="C19" i="18"/>
  <c r="L19" i="18"/>
  <c r="E4" i="1"/>
  <c r="E5" i="1"/>
  <c r="E6" i="1"/>
  <c r="G38" i="25" l="1"/>
  <c r="J38" i="25"/>
  <c r="E38" i="25"/>
  <c r="D38" i="25"/>
  <c r="I38" i="25"/>
  <c r="H38" i="25"/>
  <c r="F38" i="25"/>
  <c r="H40" i="24"/>
  <c r="G40" i="24"/>
  <c r="E40" i="24"/>
  <c r="L40" i="24"/>
  <c r="K40" i="24"/>
  <c r="M40" i="24"/>
  <c r="J40" i="24"/>
  <c r="D40" i="24"/>
  <c r="I40" i="24"/>
  <c r="K60" i="23"/>
  <c r="L63" i="25"/>
  <c r="O62" i="24"/>
  <c r="B1" i="1"/>
  <c r="J70" i="30"/>
  <c r="J69" i="30"/>
  <c r="J52" i="30"/>
  <c r="J47" i="30"/>
  <c r="J63" i="30"/>
  <c r="J61" i="30"/>
  <c r="J59" i="30"/>
  <c r="J33" i="30"/>
  <c r="J26" i="30"/>
  <c r="J24" i="30"/>
  <c r="J22" i="30"/>
  <c r="F16" i="19"/>
  <c r="L16" i="19" s="1"/>
  <c r="B1" i="30"/>
  <c r="F40" i="27" l="1"/>
  <c r="F41" i="27"/>
  <c r="F42" i="27"/>
  <c r="F43" i="27"/>
  <c r="F44" i="27"/>
  <c r="F32" i="27"/>
  <c r="F33" i="27"/>
  <c r="F34" i="27"/>
  <c r="F35" i="27"/>
  <c r="F36" i="27"/>
  <c r="F37" i="27"/>
  <c r="F38" i="27"/>
  <c r="F39" i="27"/>
  <c r="F45" i="27"/>
  <c r="E22" i="1"/>
  <c r="E17" i="1"/>
  <c r="E16" i="1"/>
  <c r="E9" i="1"/>
  <c r="F25" i="29"/>
  <c r="F19" i="29"/>
  <c r="F28" i="15"/>
  <c r="F26" i="15"/>
  <c r="F25" i="15"/>
  <c r="F23" i="15"/>
  <c r="F21" i="15"/>
  <c r="I13" i="25"/>
  <c r="I53" i="25"/>
  <c r="I57" i="25"/>
  <c r="I60" i="25"/>
  <c r="E57" i="25"/>
  <c r="F57" i="25"/>
  <c r="G57" i="25"/>
  <c r="H57" i="25"/>
  <c r="J57" i="25"/>
  <c r="D57" i="25"/>
  <c r="H13" i="25"/>
  <c r="H53" i="25"/>
  <c r="H60" i="25"/>
  <c r="E29" i="15"/>
  <c r="B1" i="29"/>
  <c r="J15" i="25"/>
  <c r="J17" i="25"/>
  <c r="J19" i="25"/>
  <c r="G13" i="25"/>
  <c r="G53" i="25"/>
  <c r="G60" i="25"/>
  <c r="L57" i="25" l="1"/>
  <c r="E26" i="29"/>
  <c r="B1" i="28"/>
  <c r="D32" i="28"/>
  <c r="D13" i="28" s="1"/>
  <c r="E32" i="28"/>
  <c r="F32" i="28"/>
  <c r="G32" i="28"/>
  <c r="H32" i="28"/>
  <c r="H13" i="28" s="1"/>
  <c r="I32" i="28"/>
  <c r="I13" i="28" s="1"/>
  <c r="J32" i="28"/>
  <c r="J13" i="28" s="1"/>
  <c r="K32" i="28"/>
  <c r="L32" i="28"/>
  <c r="M32" i="28"/>
  <c r="D17" i="28"/>
  <c r="E17" i="28"/>
  <c r="F17" i="28"/>
  <c r="G17" i="28"/>
  <c r="H17" i="28"/>
  <c r="I17" i="28"/>
  <c r="J17" i="28"/>
  <c r="K17" i="28"/>
  <c r="L17" i="28"/>
  <c r="M17" i="28"/>
  <c r="K11" i="28"/>
  <c r="L11" i="28"/>
  <c r="M11" i="28"/>
  <c r="H11" i="28"/>
  <c r="I11" i="28"/>
  <c r="J11" i="28"/>
  <c r="D11" i="28"/>
  <c r="E11" i="28"/>
  <c r="F11" i="28"/>
  <c r="G11" i="28"/>
  <c r="D46" i="27"/>
  <c r="F31" i="27"/>
  <c r="E26" i="27"/>
  <c r="D25" i="27" s="1"/>
  <c r="B1" i="27"/>
  <c r="F36" i="19"/>
  <c r="L36" i="19" s="1"/>
  <c r="F37" i="19"/>
  <c r="L37" i="19" s="1"/>
  <c r="F38" i="19"/>
  <c r="L38" i="19" s="1"/>
  <c r="F39" i="19"/>
  <c r="L39" i="19" s="1"/>
  <c r="F40" i="19"/>
  <c r="L40" i="19" s="1"/>
  <c r="F41" i="19"/>
  <c r="L41" i="19" s="1"/>
  <c r="F42" i="19"/>
  <c r="L42" i="19" s="1"/>
  <c r="F43" i="19"/>
  <c r="L43" i="19" s="1"/>
  <c r="F44" i="19"/>
  <c r="L44" i="19" s="1"/>
  <c r="F45" i="19"/>
  <c r="L45" i="19" s="1"/>
  <c r="F46" i="19"/>
  <c r="L46" i="19" s="1"/>
  <c r="F47" i="19"/>
  <c r="L47" i="19" s="1"/>
  <c r="F48" i="19"/>
  <c r="L48" i="19" s="1"/>
  <c r="F49" i="19"/>
  <c r="L49" i="19" s="1"/>
  <c r="F50" i="19"/>
  <c r="L50" i="19" s="1"/>
  <c r="F51" i="19"/>
  <c r="L51" i="19" s="1"/>
  <c r="F52" i="19"/>
  <c r="L52" i="19" s="1"/>
  <c r="F53" i="19"/>
  <c r="L53" i="19" s="1"/>
  <c r="F54" i="19"/>
  <c r="L54" i="19" s="1"/>
  <c r="F55" i="19"/>
  <c r="L55" i="19" s="1"/>
  <c r="F56" i="19"/>
  <c r="L56" i="19" s="1"/>
  <c r="F57" i="19"/>
  <c r="L57" i="19" s="1"/>
  <c r="F58" i="19"/>
  <c r="L58" i="19" s="1"/>
  <c r="F59" i="19"/>
  <c r="L59" i="19" s="1"/>
  <c r="F60" i="19"/>
  <c r="L60" i="19" s="1"/>
  <c r="F61" i="19"/>
  <c r="L61" i="19" s="1"/>
  <c r="F62" i="19"/>
  <c r="L62" i="19" s="1"/>
  <c r="F63" i="19"/>
  <c r="L63" i="19" s="1"/>
  <c r="F64" i="19"/>
  <c r="L64" i="19" s="1"/>
  <c r="F35" i="19"/>
  <c r="L35" i="19" s="1"/>
  <c r="E37" i="18"/>
  <c r="K37" i="18" s="1"/>
  <c r="E36" i="18"/>
  <c r="K36" i="18" s="1"/>
  <c r="E35" i="18"/>
  <c r="K35" i="18" s="1"/>
  <c r="E34" i="18"/>
  <c r="K34" i="18" s="1"/>
  <c r="B1" i="26"/>
  <c r="E17" i="26"/>
  <c r="E18" i="26"/>
  <c r="E19" i="26"/>
  <c r="E20" i="26"/>
  <c r="E21" i="26"/>
  <c r="C22" i="26"/>
  <c r="D22" i="26"/>
  <c r="E44" i="16"/>
  <c r="E43" i="16"/>
  <c r="E42" i="16"/>
  <c r="M13" i="28" l="1"/>
  <c r="E13" i="28"/>
  <c r="F13" i="28"/>
  <c r="K13" i="28"/>
  <c r="G13" i="28"/>
  <c r="L13" i="28"/>
  <c r="D24" i="27"/>
  <c r="F46" i="27"/>
  <c r="E22" i="26"/>
  <c r="F53" i="25"/>
  <c r="F60" i="25"/>
  <c r="F13" i="25"/>
  <c r="J13" i="25"/>
  <c r="G43" i="27" l="1"/>
  <c r="H43" i="27" s="1"/>
  <c r="G44" i="27"/>
  <c r="H44" i="27" s="1"/>
  <c r="G40" i="27"/>
  <c r="H40" i="27" s="1"/>
  <c r="G41" i="27"/>
  <c r="H41" i="27" s="1"/>
  <c r="G42" i="27"/>
  <c r="H42" i="27" s="1"/>
  <c r="G37" i="27"/>
  <c r="H37" i="27" s="1"/>
  <c r="G32" i="27"/>
  <c r="H32" i="27" s="1"/>
  <c r="G45" i="27"/>
  <c r="H45" i="27" s="1"/>
  <c r="G35" i="27"/>
  <c r="H35" i="27" s="1"/>
  <c r="G38" i="27"/>
  <c r="H38" i="27" s="1"/>
  <c r="G34" i="27"/>
  <c r="H34" i="27" s="1"/>
  <c r="G33" i="27"/>
  <c r="H33" i="27" s="1"/>
  <c r="G36" i="27"/>
  <c r="H36" i="27" s="1"/>
  <c r="G39" i="27"/>
  <c r="H39" i="27" s="1"/>
  <c r="D26" i="27"/>
  <c r="G31" i="27"/>
  <c r="H31" i="27" s="1"/>
  <c r="E25" i="1"/>
  <c r="E24" i="1"/>
  <c r="E23" i="1"/>
  <c r="E20" i="1"/>
  <c r="E15" i="1"/>
  <c r="E14" i="1"/>
  <c r="E13" i="1"/>
  <c r="E10" i="1"/>
  <c r="H46" i="27" l="1"/>
  <c r="I46" i="27" s="1"/>
  <c r="D60" i="25" l="1"/>
  <c r="E60" i="25"/>
  <c r="J60" i="25"/>
  <c r="F34" i="19"/>
  <c r="L34" i="19" s="1"/>
  <c r="F33" i="19"/>
  <c r="L33" i="19" s="1"/>
  <c r="F32" i="19"/>
  <c r="L32" i="19" s="1"/>
  <c r="J53" i="25"/>
  <c r="E53" i="25"/>
  <c r="D53" i="25"/>
  <c r="L49" i="25"/>
  <c r="N45" i="25"/>
  <c r="E13" i="25"/>
  <c r="D13" i="25"/>
  <c r="B1" i="25"/>
  <c r="L53" i="25" l="1"/>
  <c r="F17" i="19"/>
  <c r="L17" i="19" s="1"/>
  <c r="F18" i="19"/>
  <c r="L18" i="19" s="1"/>
  <c r="F19" i="19"/>
  <c r="L19" i="19" s="1"/>
  <c r="F20" i="19"/>
  <c r="L20" i="19" s="1"/>
  <c r="F21" i="19"/>
  <c r="L21" i="19" s="1"/>
  <c r="F22" i="19"/>
  <c r="L22" i="19" s="1"/>
  <c r="F23" i="19"/>
  <c r="L23" i="19" s="1"/>
  <c r="F24" i="19"/>
  <c r="L24" i="19" s="1"/>
  <c r="F25" i="19"/>
  <c r="L25" i="19" s="1"/>
  <c r="F26" i="19"/>
  <c r="L26" i="19" s="1"/>
  <c r="F27" i="19"/>
  <c r="L27" i="19" s="1"/>
  <c r="F28" i="19"/>
  <c r="L28" i="19" s="1"/>
  <c r="F29" i="19"/>
  <c r="L29" i="19" s="1"/>
  <c r="F30" i="19"/>
  <c r="L30" i="19" s="1"/>
  <c r="F31" i="19"/>
  <c r="L31" i="19" s="1"/>
  <c r="H54" i="25" l="1"/>
  <c r="I54" i="25"/>
  <c r="F54" i="25"/>
  <c r="G54" i="25"/>
  <c r="L60" i="25"/>
  <c r="J54" i="25"/>
  <c r="E54" i="25"/>
  <c r="D54" i="25"/>
  <c r="D55" i="24"/>
  <c r="D59" i="24" s="1"/>
  <c r="E55" i="24"/>
  <c r="F55" i="24"/>
  <c r="G55" i="24"/>
  <c r="H55" i="24"/>
  <c r="I55" i="24"/>
  <c r="J55" i="24"/>
  <c r="K55" i="24"/>
  <c r="L55" i="24"/>
  <c r="M55" i="24"/>
  <c r="L54" i="25" l="1"/>
  <c r="K17" i="24"/>
  <c r="L17" i="24"/>
  <c r="M17" i="24"/>
  <c r="M19" i="24"/>
  <c r="M21" i="24"/>
  <c r="E15" i="24"/>
  <c r="F15" i="24"/>
  <c r="G15" i="24"/>
  <c r="H15" i="24"/>
  <c r="I15" i="24"/>
  <c r="J15" i="24"/>
  <c r="K15" i="24"/>
  <c r="L15" i="24"/>
  <c r="M15" i="24"/>
  <c r="M47" i="24" s="1"/>
  <c r="M59" i="24"/>
  <c r="E59" i="24"/>
  <c r="O51" i="24"/>
  <c r="Q47" i="24"/>
  <c r="D15" i="24"/>
  <c r="B1" i="24"/>
  <c r="H57" i="23"/>
  <c r="I57" i="23"/>
  <c r="D15" i="23"/>
  <c r="E15" i="23"/>
  <c r="F15" i="23"/>
  <c r="G15" i="23"/>
  <c r="H15" i="23"/>
  <c r="I15" i="23"/>
  <c r="M45" i="23"/>
  <c r="G53" i="23"/>
  <c r="F59" i="24" l="1"/>
  <c r="L59" i="24"/>
  <c r="G59" i="24"/>
  <c r="H59" i="24"/>
  <c r="J59" i="24"/>
  <c r="I59" i="24"/>
  <c r="K59" i="24"/>
  <c r="O55" i="24"/>
  <c r="M56" i="24" s="1"/>
  <c r="E53" i="23"/>
  <c r="F53" i="23"/>
  <c r="H53" i="23"/>
  <c r="I53" i="23"/>
  <c r="B1" i="23"/>
  <c r="I56" i="24" l="1"/>
  <c r="G56" i="24"/>
  <c r="J56" i="24"/>
  <c r="K56" i="24"/>
  <c r="L56" i="24"/>
  <c r="H56" i="24"/>
  <c r="O59" i="24"/>
  <c r="E56" i="24"/>
  <c r="D56" i="24"/>
  <c r="F56" i="24"/>
  <c r="K49" i="23"/>
  <c r="D53" i="23"/>
  <c r="F57" i="23" s="1"/>
  <c r="E57" i="23" l="1"/>
  <c r="O56" i="24"/>
  <c r="D57" i="23"/>
  <c r="G57" i="23"/>
  <c r="K53" i="23"/>
  <c r="G54" i="23" s="1"/>
  <c r="E33" i="18"/>
  <c r="K33" i="18" s="1"/>
  <c r="E64" i="16"/>
  <c r="E63" i="16"/>
  <c r="E60" i="16"/>
  <c r="K57" i="23" l="1"/>
  <c r="H54" i="23"/>
  <c r="I54" i="23"/>
  <c r="E54" i="23"/>
  <c r="F54" i="23"/>
  <c r="D54" i="23"/>
  <c r="K54" i="23" l="1"/>
  <c r="C65" i="19" l="1"/>
  <c r="I65" i="19" l="1"/>
  <c r="F13" i="17" s="1"/>
  <c r="L32" i="25" s="1"/>
  <c r="F65" i="19"/>
  <c r="C13" i="17" s="1"/>
  <c r="G65" i="19"/>
  <c r="D13" i="17" s="1"/>
  <c r="J65" i="19"/>
  <c r="G13" i="17" s="1"/>
  <c r="K65" i="19"/>
  <c r="H13" i="17" s="1"/>
  <c r="H65" i="19"/>
  <c r="E13" i="17" s="1"/>
  <c r="B1" i="19"/>
  <c r="J38" i="18"/>
  <c r="H15" i="17" s="1"/>
  <c r="E30" i="18"/>
  <c r="K30" i="18" s="1"/>
  <c r="E27" i="18"/>
  <c r="K27" i="18" s="1"/>
  <c r="E25" i="18"/>
  <c r="K25" i="18" s="1"/>
  <c r="E26" i="18"/>
  <c r="K26" i="18" s="1"/>
  <c r="E31" i="18"/>
  <c r="K31" i="18" s="1"/>
  <c r="E32" i="18"/>
  <c r="K32" i="18" s="1"/>
  <c r="E28" i="18"/>
  <c r="K28" i="18" s="1"/>
  <c r="E29" i="18"/>
  <c r="K29" i="18" s="1"/>
  <c r="E72" i="16"/>
  <c r="E73" i="16"/>
  <c r="E74" i="16"/>
  <c r="E77" i="16"/>
  <c r="E79" i="16"/>
  <c r="E69" i="16"/>
  <c r="E66" i="16"/>
  <c r="E78" i="16"/>
  <c r="E15" i="16"/>
  <c r="E19" i="16"/>
  <c r="E10" i="16"/>
  <c r="E16" i="16"/>
  <c r="E13" i="16"/>
  <c r="E12" i="16"/>
  <c r="E11" i="16"/>
  <c r="E18" i="16"/>
  <c r="E65" i="16"/>
  <c r="E68" i="16"/>
  <c r="E75" i="16"/>
  <c r="E62" i="16"/>
  <c r="E71" i="16"/>
  <c r="E70" i="16"/>
  <c r="E80" i="16"/>
  <c r="E67" i="16"/>
  <c r="E76" i="16"/>
  <c r="E51" i="16"/>
  <c r="E50" i="16"/>
  <c r="E54" i="16"/>
  <c r="E52" i="16"/>
  <c r="E53" i="16"/>
  <c r="E40" i="16"/>
  <c r="E41" i="16"/>
  <c r="E26" i="16"/>
  <c r="E33" i="16"/>
  <c r="E32" i="16"/>
  <c r="E25" i="16"/>
  <c r="E27" i="16"/>
  <c r="E28" i="16"/>
  <c r="E31" i="16"/>
  <c r="E29" i="16"/>
  <c r="E34" i="16"/>
  <c r="E30" i="16"/>
  <c r="E17" i="16"/>
  <c r="E14" i="16"/>
  <c r="E9" i="16"/>
  <c r="E9" i="17"/>
  <c r="F9" i="17"/>
  <c r="L26" i="25" s="1"/>
  <c r="H9" i="17"/>
  <c r="G9" i="17"/>
  <c r="C38" i="18"/>
  <c r="D38" i="18"/>
  <c r="H38" i="18"/>
  <c r="F15" i="17" s="1"/>
  <c r="L36" i="25" s="1"/>
  <c r="B1" i="18"/>
  <c r="B1" i="17"/>
  <c r="B1" i="16"/>
  <c r="D81" i="16"/>
  <c r="D55" i="16"/>
  <c r="C55" i="16"/>
  <c r="D45" i="16"/>
  <c r="C45" i="16"/>
  <c r="D35" i="16"/>
  <c r="C35" i="16"/>
  <c r="D20" i="16"/>
  <c r="C20" i="16"/>
  <c r="H36" i="25" l="1"/>
  <c r="I36" i="25"/>
  <c r="H32" i="25"/>
  <c r="I32" i="25"/>
  <c r="H26" i="25"/>
  <c r="I26" i="25"/>
  <c r="F36" i="25"/>
  <c r="G36" i="25"/>
  <c r="F26" i="25"/>
  <c r="G26" i="25"/>
  <c r="F32" i="25"/>
  <c r="G32" i="25"/>
  <c r="K32" i="23"/>
  <c r="H32" i="23" s="1"/>
  <c r="I13" i="17"/>
  <c r="L65" i="19"/>
  <c r="O34" i="24"/>
  <c r="O28" i="24"/>
  <c r="E45" i="16"/>
  <c r="C12" i="17" s="1"/>
  <c r="F12" i="17" s="1"/>
  <c r="L30" i="25" s="1"/>
  <c r="I30" i="25" s="1"/>
  <c r="E35" i="16"/>
  <c r="C11" i="17" s="1"/>
  <c r="E11" i="17" s="1"/>
  <c r="G38" i="18"/>
  <c r="E15" i="17" s="1"/>
  <c r="F38" i="18"/>
  <c r="D15" i="17" s="1"/>
  <c r="E38" i="18"/>
  <c r="C15" i="17" s="1"/>
  <c r="I38" i="18"/>
  <c r="G15" i="17" s="1"/>
  <c r="C81" i="16"/>
  <c r="E61" i="16"/>
  <c r="E81" i="16" s="1"/>
  <c r="C17" i="17" s="1"/>
  <c r="H17" i="17" s="1"/>
  <c r="E55" i="16"/>
  <c r="C14" i="17" s="1"/>
  <c r="E20" i="16"/>
  <c r="C10" i="17" s="1"/>
  <c r="C9" i="17"/>
  <c r="D9" i="17"/>
  <c r="H30" i="25" l="1"/>
  <c r="E30" i="25"/>
  <c r="F30" i="25"/>
  <c r="J30" i="25"/>
  <c r="G30" i="25"/>
  <c r="D30" i="25"/>
  <c r="G32" i="23"/>
  <c r="I32" i="23"/>
  <c r="F32" i="23"/>
  <c r="D32" i="23"/>
  <c r="E32" i="23"/>
  <c r="D32" i="25"/>
  <c r="J32" i="25"/>
  <c r="E32" i="25"/>
  <c r="K36" i="23"/>
  <c r="G36" i="23" s="1"/>
  <c r="K28" i="23"/>
  <c r="E28" i="23" s="1"/>
  <c r="M34" i="24"/>
  <c r="E34" i="24"/>
  <c r="G34" i="24"/>
  <c r="H34" i="24"/>
  <c r="J34" i="24"/>
  <c r="L34" i="24"/>
  <c r="D34" i="24"/>
  <c r="I34" i="24"/>
  <c r="F34" i="24"/>
  <c r="K34" i="24"/>
  <c r="O38" i="24"/>
  <c r="I38" i="24" s="1"/>
  <c r="M28" i="24"/>
  <c r="D28" i="24"/>
  <c r="J28" i="24"/>
  <c r="F28" i="24"/>
  <c r="L28" i="24"/>
  <c r="I28" i="24"/>
  <c r="E28" i="24"/>
  <c r="H28" i="24"/>
  <c r="G28" i="24"/>
  <c r="K28" i="24"/>
  <c r="O32" i="24"/>
  <c r="I12" i="17"/>
  <c r="H14" i="17"/>
  <c r="D14" i="17"/>
  <c r="G14" i="17"/>
  <c r="F14" i="17"/>
  <c r="L34" i="25" s="1"/>
  <c r="E14" i="17"/>
  <c r="I11" i="17"/>
  <c r="I15" i="17"/>
  <c r="H10" i="17"/>
  <c r="F10" i="17"/>
  <c r="L28" i="25" s="1"/>
  <c r="G10" i="17"/>
  <c r="E10" i="17"/>
  <c r="I17" i="17"/>
  <c r="D10" i="17"/>
  <c r="I9" i="17"/>
  <c r="H34" i="25" l="1"/>
  <c r="I34" i="25"/>
  <c r="H28" i="25"/>
  <c r="I28" i="25"/>
  <c r="F28" i="25"/>
  <c r="G28" i="25"/>
  <c r="F34" i="25"/>
  <c r="G34" i="25"/>
  <c r="H36" i="23"/>
  <c r="E36" i="23"/>
  <c r="I36" i="23"/>
  <c r="F36" i="23"/>
  <c r="D36" i="23"/>
  <c r="F28" i="23"/>
  <c r="I28" i="23"/>
  <c r="H28" i="23"/>
  <c r="G28" i="23"/>
  <c r="D28" i="23"/>
  <c r="K34" i="23"/>
  <c r="H34" i="23" s="1"/>
  <c r="J36" i="25"/>
  <c r="D36" i="25"/>
  <c r="E36" i="25"/>
  <c r="K30" i="23"/>
  <c r="D30" i="23" s="1"/>
  <c r="J26" i="25"/>
  <c r="D26" i="25"/>
  <c r="E26" i="25"/>
  <c r="O36" i="24"/>
  <c r="M38" i="24"/>
  <c r="E38" i="24"/>
  <c r="H38" i="24"/>
  <c r="F38" i="24"/>
  <c r="L38" i="24"/>
  <c r="K38" i="24"/>
  <c r="J38" i="24"/>
  <c r="D38" i="24"/>
  <c r="G38" i="24"/>
  <c r="O30" i="24"/>
  <c r="M32" i="24"/>
  <c r="H32" i="24"/>
  <c r="G32" i="24"/>
  <c r="I32" i="24"/>
  <c r="L32" i="24"/>
  <c r="K32" i="24"/>
  <c r="D32" i="24"/>
  <c r="F32" i="24"/>
  <c r="J32" i="24"/>
  <c r="E32" i="24"/>
  <c r="I14" i="17"/>
  <c r="H18" i="17"/>
  <c r="I10" i="17"/>
  <c r="I15" i="25" l="1"/>
  <c r="H15" i="25"/>
  <c r="F15" i="25"/>
  <c r="G15" i="25"/>
  <c r="H30" i="23"/>
  <c r="H62" i="23" s="1"/>
  <c r="G30" i="23"/>
  <c r="I30" i="23"/>
  <c r="E30" i="23"/>
  <c r="F30" i="23"/>
  <c r="E34" i="23"/>
  <c r="G34" i="23"/>
  <c r="F34" i="23"/>
  <c r="D34" i="23"/>
  <c r="D62" i="23" s="1"/>
  <c r="I34" i="23"/>
  <c r="J34" i="25"/>
  <c r="D34" i="25"/>
  <c r="E34" i="25"/>
  <c r="D28" i="25"/>
  <c r="E28" i="25"/>
  <c r="J28" i="25"/>
  <c r="E36" i="24"/>
  <c r="M36" i="24"/>
  <c r="F36" i="24"/>
  <c r="G36" i="24"/>
  <c r="K36" i="24"/>
  <c r="D36" i="24"/>
  <c r="I36" i="24"/>
  <c r="H36" i="24"/>
  <c r="L36" i="24"/>
  <c r="J36" i="24"/>
  <c r="M30" i="24"/>
  <c r="G30" i="24"/>
  <c r="G64" i="24" s="1"/>
  <c r="E30" i="24"/>
  <c r="L30" i="24"/>
  <c r="D30" i="24"/>
  <c r="I30" i="24"/>
  <c r="J30" i="24"/>
  <c r="K30" i="24"/>
  <c r="H30" i="24"/>
  <c r="H64" i="24" s="1"/>
  <c r="F30" i="24"/>
  <c r="F18" i="17"/>
  <c r="G18" i="17"/>
  <c r="G20" i="17" s="1"/>
  <c r="D18" i="17"/>
  <c r="E18" i="17"/>
  <c r="O42" i="24" s="1"/>
  <c r="H20" i="17"/>
  <c r="M64" i="24" l="1"/>
  <c r="M42" i="24" s="1"/>
  <c r="M44" i="24" s="1"/>
  <c r="I62" i="23"/>
  <c r="I64" i="24"/>
  <c r="I42" i="24" s="1"/>
  <c r="D64" i="24"/>
  <c r="D42" i="24" s="1"/>
  <c r="K64" i="24"/>
  <c r="K42" i="24" s="1"/>
  <c r="F62" i="23"/>
  <c r="E64" i="24"/>
  <c r="E42" i="24" s="1"/>
  <c r="J64" i="24"/>
  <c r="J42" i="24" s="1"/>
  <c r="L64" i="24"/>
  <c r="L42" i="24" s="1"/>
  <c r="F64" i="24"/>
  <c r="F42" i="24" s="1"/>
  <c r="F19" i="24" s="1"/>
  <c r="E62" i="23"/>
  <c r="G62" i="23"/>
  <c r="G42" i="24"/>
  <c r="H42" i="24"/>
  <c r="H19" i="24" s="1"/>
  <c r="F20" i="17"/>
  <c r="L40" i="25"/>
  <c r="I40" i="25" s="1"/>
  <c r="J17" i="24"/>
  <c r="D15" i="25"/>
  <c r="E15" i="25"/>
  <c r="G17" i="24"/>
  <c r="E17" i="24"/>
  <c r="H17" i="24"/>
  <c r="I17" i="24"/>
  <c r="K40" i="23"/>
  <c r="F17" i="24"/>
  <c r="E20" i="17"/>
  <c r="I18" i="17"/>
  <c r="I17" i="25" l="1"/>
  <c r="I42" i="25"/>
  <c r="I19" i="25" s="1"/>
  <c r="F13" i="29" s="1"/>
  <c r="G40" i="25"/>
  <c r="G42" i="25" s="1"/>
  <c r="G19" i="25" s="1"/>
  <c r="F23" i="29" s="1"/>
  <c r="H40" i="25"/>
  <c r="L42" i="25"/>
  <c r="F40" i="25"/>
  <c r="D40" i="25"/>
  <c r="D17" i="25" s="1"/>
  <c r="E40" i="25"/>
  <c r="E17" i="25" s="1"/>
  <c r="K62" i="23"/>
  <c r="L44" i="24"/>
  <c r="L21" i="24" s="1"/>
  <c r="L19" i="24"/>
  <c r="K44" i="24"/>
  <c r="K21" i="24" s="1"/>
  <c r="K19" i="24"/>
  <c r="O64" i="24"/>
  <c r="F40" i="23"/>
  <c r="G40" i="23"/>
  <c r="H40" i="23"/>
  <c r="D40" i="23"/>
  <c r="E40" i="23"/>
  <c r="I40" i="23"/>
  <c r="I19" i="23" s="1"/>
  <c r="J40" i="25"/>
  <c r="D19" i="24"/>
  <c r="J19" i="24"/>
  <c r="J44" i="24"/>
  <c r="J21" i="24" s="1"/>
  <c r="G19" i="24"/>
  <c r="G44" i="24"/>
  <c r="G21" i="24" s="1"/>
  <c r="I19" i="24"/>
  <c r="I44" i="24"/>
  <c r="I21" i="24" s="1"/>
  <c r="H44" i="24"/>
  <c r="H21" i="24" s="1"/>
  <c r="E19" i="24"/>
  <c r="E44" i="24"/>
  <c r="E21" i="24" s="1"/>
  <c r="F44" i="24"/>
  <c r="F21" i="24" s="1"/>
  <c r="P13" i="15" l="1"/>
  <c r="G17" i="25"/>
  <c r="H17" i="25"/>
  <c r="H42" i="25"/>
  <c r="H19" i="25" s="1"/>
  <c r="F15" i="29" s="1"/>
  <c r="F42" i="25"/>
  <c r="F19" i="25" s="1"/>
  <c r="F21" i="29" s="1"/>
  <c r="F17" i="25"/>
  <c r="D42" i="25"/>
  <c r="D19" i="25" s="1"/>
  <c r="F18" i="29" s="1"/>
  <c r="E42" i="25"/>
  <c r="E19" i="25" s="1"/>
  <c r="J42" i="25"/>
  <c r="G19" i="23"/>
  <c r="E19" i="23"/>
  <c r="D19" i="23"/>
  <c r="H19" i="23"/>
  <c r="F19" i="23"/>
  <c r="F12" i="29" l="1"/>
  <c r="F26" i="29" s="1"/>
  <c r="O13" i="15"/>
  <c r="N13" i="15"/>
  <c r="D46" i="2" l="1"/>
  <c r="B6" i="1" l="1"/>
  <c r="B4" i="1"/>
  <c r="D70" i="30"/>
  <c r="D69" i="30"/>
  <c r="D47" i="30"/>
  <c r="D52" i="30"/>
  <c r="D33" i="30"/>
  <c r="D63" i="30"/>
  <c r="D61" i="30"/>
  <c r="D59" i="30"/>
  <c r="B22" i="1"/>
  <c r="D26" i="30"/>
  <c r="D22" i="30"/>
  <c r="D24" i="30"/>
  <c r="B9" i="1"/>
  <c r="B17" i="1"/>
  <c r="B16" i="1"/>
  <c r="B24" i="1"/>
  <c r="B25" i="1"/>
  <c r="B20" i="1"/>
  <c r="B23" i="1"/>
  <c r="B14" i="1"/>
  <c r="B15" i="1"/>
  <c r="B13" i="1"/>
  <c r="B10" i="1"/>
  <c r="B1" i="2"/>
  <c r="B5" i="1" l="1"/>
  <c r="C16" i="17"/>
  <c r="C20" i="17" l="1"/>
  <c r="I16" i="17"/>
  <c r="D20" i="17"/>
  <c r="K38" i="23"/>
  <c r="I20" i="17" l="1"/>
  <c r="K42" i="23"/>
  <c r="D38" i="23"/>
  <c r="I38" i="23"/>
  <c r="E38" i="23"/>
  <c r="H38" i="23"/>
  <c r="F38" i="23"/>
  <c r="G38" i="23"/>
  <c r="F17" i="23" l="1"/>
  <c r="F42" i="23"/>
  <c r="F21" i="23" s="1"/>
  <c r="G17" i="23"/>
  <c r="G42" i="23"/>
  <c r="G21" i="23" s="1"/>
  <c r="H17" i="23"/>
  <c r="H42" i="23"/>
  <c r="H21" i="23" s="1"/>
  <c r="E17" i="23"/>
  <c r="E42" i="23"/>
  <c r="E21" i="23" s="1"/>
  <c r="I17" i="23"/>
  <c r="I42" i="23"/>
  <c r="I21" i="23" s="1"/>
  <c r="D17" i="23"/>
  <c r="F29" i="15" s="1"/>
  <c r="D42" i="23"/>
  <c r="D21" i="23" s="1"/>
  <c r="O44" i="24"/>
  <c r="D17" i="24"/>
  <c r="D44" i="24" l="1"/>
  <c r="D21"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Shawn La Fou</author>
  </authors>
  <commentList>
    <comment ref="D1" authorId="0" shapeId="0" xr:uid="{00000000-0006-0000-0C00-000001000000}">
      <text>
        <r>
          <rPr>
            <b/>
            <sz val="9"/>
            <color indexed="81"/>
            <rFont val="Calibri"/>
            <family val="2"/>
            <scheme val="minor"/>
          </rPr>
          <t>Purpose</t>
        </r>
        <r>
          <rPr>
            <sz val="9"/>
            <color indexed="81"/>
            <rFont val="Calibri"/>
            <family val="2"/>
            <scheme val="minor"/>
          </rPr>
          <t xml:space="preserve">
The purpose of this worksheet is to identify and capture all of the Operators internal Salaries and Wages for each service.
</t>
        </r>
        <r>
          <rPr>
            <b/>
            <sz val="9"/>
            <color indexed="81"/>
            <rFont val="Calibri"/>
            <family val="2"/>
            <scheme val="minor"/>
          </rPr>
          <t>Instructions</t>
        </r>
        <r>
          <rPr>
            <sz val="9"/>
            <color indexed="81"/>
            <rFont val="Calibri"/>
            <family val="2"/>
            <scheme val="minor"/>
          </rPr>
          <t xml:space="preserve">
The ‘12 Month Total’ should include the total salaries and wages for all persons associated with each cemetery service.  Where an individual is associated with providing multiple services (e.g interments and ground maintenance) their salary should be apportioned across both service.
All other salaries and wages for services provided by an operator (such as Reflection Rooms and Lounge services, Catering, ornamental urn sales) should be subtotalled as ‘Other Services’.
Overhead Salaries should include all Sales, Administration, HR and Management Staff
</t>
        </r>
      </text>
    </comment>
  </commentList>
</comments>
</file>

<file path=xl/sharedStrings.xml><?xml version="1.0" encoding="utf-8"?>
<sst xmlns="http://schemas.openxmlformats.org/spreadsheetml/2006/main" count="736" uniqueCount="512">
  <si>
    <t>DISCLAIMER</t>
  </si>
  <si>
    <t>This publication has been carefully prepared, but is general commentary only. This publication is not legal or financial advice and should not be relied upon as such. The information in this publication is subject to change at any time and therefore we give no assurance or warranty that the information is current when read. The publication cannot be relied upon to cover any specific situation and you should not act, or refrain from acting, upon the information contained therein without obtaining specific professional advice. Please contact the BDO member firms in Australia to discuss these matters in the context of your particular circumstances.</t>
  </si>
  <si>
    <t>BDO Australia Ltd and each BDO member firm in Australia, their partners and/or directors, employees and agents do not give any warranty as to the accuracy, reliability or completeness of information contained in this publication nor do they accept or assume any liability or duty of care for any loss arising from any action taken or not taken by anyone in reliance on the information in this publication or for any decision based on it, except in so far as any liability under statute cannot be excluded.</t>
  </si>
  <si>
    <t>BDO Services Pty Ltd ABN 45 134 242 434 is a member of a national association of independent entities which are all members of BDO Australia Ltd ABN 77 050 110 275, an Australian company limited by guarantee. BDO Services Pty Ltd and BDO Australia Ltd are members of BDO International Ltd, a UK company limited by guarantee, and form part of the international BDO network of independent member firms. Liability limited by a scheme approved under Professional Standards Legislation.</t>
  </si>
  <si>
    <t>This report is not an actuarial determination or estimate.</t>
  </si>
  <si>
    <t>BDO is the brand name for the BDO network and for each of the BDO member firms.</t>
  </si>
  <si>
    <t>© 2023 BDO Services Pty Ltd. All rights reserved.</t>
  </si>
  <si>
    <t>Introduction</t>
  </si>
  <si>
    <t>This workbook has been developed to assist cemetery and crematorium operators break down their costs according to each</t>
  </si>
  <si>
    <t>component of the pricing transparency templates and for inclusion in their contracts under the Interment Industry Scheme.</t>
  </si>
  <si>
    <t>Using this Workbook</t>
  </si>
  <si>
    <t>Please make sure to:</t>
  </si>
  <si>
    <r>
      <t>Follow the '</t>
    </r>
    <r>
      <rPr>
        <b/>
        <sz val="10"/>
        <rFont val="Calibri"/>
        <family val="2"/>
      </rPr>
      <t>Cell Format Convention</t>
    </r>
    <r>
      <rPr>
        <sz val="10"/>
        <rFont val="Calibri"/>
        <family val="2"/>
        <scheme val="minor"/>
      </rPr>
      <t>' outlined below.</t>
    </r>
  </si>
  <si>
    <r>
      <t xml:space="preserve">Not delete or insert any </t>
    </r>
    <r>
      <rPr>
        <b/>
        <sz val="10"/>
        <rFont val="Calibri"/>
        <family val="2"/>
      </rPr>
      <t>columns</t>
    </r>
  </si>
  <si>
    <r>
      <t xml:space="preserve">Not delete any </t>
    </r>
    <r>
      <rPr>
        <b/>
        <sz val="10"/>
        <rFont val="Calibri"/>
        <family val="2"/>
      </rPr>
      <t>rows</t>
    </r>
  </si>
  <si>
    <r>
      <rPr>
        <sz val="10"/>
        <rFont val="Calibri"/>
        <family val="2"/>
      </rPr>
      <t xml:space="preserve">Not </t>
    </r>
    <r>
      <rPr>
        <b/>
        <sz val="10"/>
        <rFont val="Calibri"/>
        <family val="2"/>
      </rPr>
      <t>Cut and Paste</t>
    </r>
  </si>
  <si>
    <r>
      <t xml:space="preserve">Not delete any </t>
    </r>
    <r>
      <rPr>
        <b/>
        <sz val="10"/>
        <rFont val="Calibri"/>
        <family val="2"/>
      </rPr>
      <t>worksheets</t>
    </r>
  </si>
  <si>
    <r>
      <t xml:space="preserve">Insert rows to add more data on </t>
    </r>
    <r>
      <rPr>
        <b/>
        <sz val="10"/>
        <rFont val="Calibri"/>
        <family val="2"/>
      </rPr>
      <t>Cost Input Sheets Only</t>
    </r>
  </si>
  <si>
    <t>Press F9 to update hyperlinks</t>
  </si>
  <si>
    <t>Review and update this model at least once a year or as costs, resources, activities and other attributes change.</t>
  </si>
  <si>
    <t>Cell Format Convention</t>
  </si>
  <si>
    <t>Data Entry Cells - only enter data in these cells</t>
  </si>
  <si>
    <t>User input (drop down selection) - use the scroll bar to view all options</t>
  </si>
  <si>
    <t>Notes, Description, Instructions - free text cells to take notes</t>
  </si>
  <si>
    <t>Hyperlink</t>
  </si>
  <si>
    <t>Click to inputs within this workbook.  Tip use 'F5 + Enter' to return to your previous location</t>
  </si>
  <si>
    <t>Total Calculations</t>
  </si>
  <si>
    <t>NB: calculated cells have multiple formats for aesthetics of outputs</t>
  </si>
  <si>
    <t>Tab Format Convention</t>
  </si>
  <si>
    <t>Administration</t>
  </si>
  <si>
    <t>Output - Pricing Transparency Templates</t>
  </si>
  <si>
    <t>Cost Allocation - Calculation Sheets</t>
  </si>
  <si>
    <t>Cost Input Sheets</t>
  </si>
  <si>
    <t>Version Control</t>
  </si>
  <si>
    <t>Model Name:</t>
  </si>
  <si>
    <t>Pricing Template</t>
  </si>
  <si>
    <t>File Name:</t>
  </si>
  <si>
    <t>Date</t>
  </si>
  <si>
    <t>Description</t>
  </si>
  <si>
    <t>ID</t>
  </si>
  <si>
    <t>DRAFT - Model Development - BDO Adelaide</t>
  </si>
  <si>
    <t>Shawn La Fou - BDO Adelaide</t>
  </si>
  <si>
    <r>
      <rPr>
        <b/>
        <sz val="12"/>
        <color rgb="FF5181BD"/>
        <rFont val="Calibri"/>
        <family val="2"/>
        <scheme val="minor"/>
      </rPr>
      <t>Press '</t>
    </r>
    <r>
      <rPr>
        <b/>
        <sz val="12"/>
        <color rgb="FFFF0000"/>
        <rFont val="Calibri"/>
        <family val="2"/>
      </rPr>
      <t>F9</t>
    </r>
    <r>
      <rPr>
        <b/>
        <sz val="12"/>
        <color rgb="FF5181BD"/>
        <rFont val="Calibri"/>
        <family val="2"/>
      </rPr>
      <t xml:space="preserve">' </t>
    </r>
    <r>
      <rPr>
        <sz val="10"/>
        <color rgb="FF5181BD"/>
        <rFont val="Calibri"/>
        <family val="2"/>
        <scheme val="minor"/>
      </rPr>
      <t>to refresh</t>
    </r>
  </si>
  <si>
    <t>Model Administration</t>
  </si>
  <si>
    <t>Disclaimer</t>
  </si>
  <si>
    <t>Introduction to using this workbook and Version Control</t>
  </si>
  <si>
    <t>The Purpose, Principles and recommended data sources when using this workbook</t>
  </si>
  <si>
    <t>Pricing Transparency Templates</t>
  </si>
  <si>
    <t>Cremation Only Pricing Template</t>
  </si>
  <si>
    <t>Basic Adult Burial and Basic Ash Interment Pricing Template</t>
  </si>
  <si>
    <t>Cost allocation - Calculations</t>
  </si>
  <si>
    <t>Interment service resources and cost allocation</t>
  </si>
  <si>
    <t>Right of Interment product resources and cost allocation</t>
  </si>
  <si>
    <t>Crematorium service resources and cost allocation</t>
  </si>
  <si>
    <t>Interment Site allocation of fair land value</t>
  </si>
  <si>
    <t>Site Development cost per site</t>
  </si>
  <si>
    <t>Cost Inputs</t>
  </si>
  <si>
    <t>Total Cost Summary and overhead allocation</t>
  </si>
  <si>
    <t>Total operator salaries and wages</t>
  </si>
  <si>
    <t>Operating cost groups</t>
  </si>
  <si>
    <t>Operating costs allocated across services</t>
  </si>
  <si>
    <t>List of assets (e.g. excavators, vehicles, cremators)</t>
  </si>
  <si>
    <t>PURPOSE</t>
  </si>
  <si>
    <t xml:space="preserve">The purpose of this model is to guide cemetery and crematorium operators (‘Operators’) through the process of aligning their costs with the Interment </t>
  </si>
  <si>
    <t xml:space="preserve">Industry Scheme (IIS) Pricing Transparency Templates (PTT). Under the IIS, Operators will be required to publicise a price breakdown for each of the </t>
  </si>
  <si>
    <t>following cemetery services provided by the operator:</t>
  </si>
  <si>
    <r>
      <rPr>
        <b/>
        <sz val="10"/>
        <rFont val="Calibri"/>
        <family val="2"/>
      </rPr>
      <t>Basic Adult Burial</t>
    </r>
    <r>
      <rPr>
        <sz val="10"/>
        <rFont val="Calibri"/>
        <family val="2"/>
        <scheme val="minor"/>
      </rPr>
      <t>: defined as the least expensive available bodily interment package, (including the interment right and the burial).</t>
    </r>
  </si>
  <si>
    <r>
      <rPr>
        <b/>
        <sz val="10"/>
        <rFont val="Calibri"/>
        <family val="2"/>
      </rPr>
      <t>Basic Ash Interment</t>
    </r>
    <r>
      <rPr>
        <sz val="10"/>
        <rFont val="Calibri"/>
        <family val="2"/>
        <scheme val="minor"/>
      </rPr>
      <t>: defined as the least expensive available ash interment package, (including the interment right and the placement/burial of ashes).</t>
    </r>
  </si>
  <si>
    <r>
      <rPr>
        <b/>
        <sz val="10"/>
        <rFont val="Calibri"/>
        <family val="2"/>
      </rPr>
      <t>Basic Cremation</t>
    </r>
    <r>
      <rPr>
        <sz val="10"/>
        <rFont val="Calibri"/>
        <family val="2"/>
        <scheme val="minor"/>
      </rPr>
      <t>: defined as the least expensive cremation only package.</t>
    </r>
  </si>
  <si>
    <t>PRINCIPLES</t>
  </si>
  <si>
    <t>The following principles outline the process and suggested sources of data required when populating each of the Input, Calculation and Output (Pricing</t>
  </si>
  <si>
    <t>Transparency Template) sheets within this model. Further information relating to the specific purpose and instructions are contained within each sheet.</t>
  </si>
  <si>
    <r>
      <rPr>
        <b/>
        <sz val="10"/>
        <rFont val="Calibri"/>
        <family val="2"/>
      </rPr>
      <t>Step 1</t>
    </r>
    <r>
      <rPr>
        <sz val="10"/>
        <rFont val="Calibri"/>
        <family val="2"/>
        <scheme val="minor"/>
      </rPr>
      <t xml:space="preserve">: Operators are required to identify their actual costs (what was spent) from source data such as their Profit and Loss Statement. </t>
    </r>
  </si>
  <si>
    <r>
      <rPr>
        <b/>
        <sz val="10"/>
        <rFont val="Calibri"/>
        <family val="2"/>
      </rPr>
      <t>Adjustments</t>
    </r>
    <r>
      <rPr>
        <sz val="10"/>
        <rFont val="Calibri"/>
        <family val="2"/>
        <scheme val="minor"/>
      </rPr>
      <t xml:space="preserve"> is the process of normalising what was spent (operating expenses) to remove the effects of any events that are unusual or one-time influences.</t>
    </r>
  </si>
  <si>
    <t>Normalised expenses help to understand the true normal cost of providing services without non recurrent expenses.</t>
  </si>
  <si>
    <t xml:space="preserve">Once identified, actual costs along with any adjustments are arranged and entered into the following ‘Cost Input’ Sheets.  </t>
  </si>
  <si>
    <t>Worksheets</t>
  </si>
  <si>
    <t>Suggested Source Data</t>
  </si>
  <si>
    <t>Profit and Loss Statement or Payroll Data</t>
  </si>
  <si>
    <t>Profit and Loss Statement, Consolidated Accounts or Expense Invoices</t>
  </si>
  <si>
    <t>Profit and Loss Statement, Contractor Invoices, Third Party receipts</t>
  </si>
  <si>
    <r>
      <rPr>
        <b/>
        <sz val="10"/>
        <rFont val="Calibri"/>
        <family val="2"/>
      </rPr>
      <t>Step 2</t>
    </r>
    <r>
      <rPr>
        <sz val="10"/>
        <rFont val="Calibri"/>
        <family val="2"/>
        <scheme val="minor"/>
      </rPr>
      <t>. A list of the Operator’s physical assets such as excavators, tractors, cremators, vehicles, office furniture is also entered into the ‘Plant and</t>
    </r>
  </si>
  <si>
    <t xml:space="preserve"> Equipment Input’ sheet.</t>
  </si>
  <si>
    <t>Asset Registry and Operations Manager</t>
  </si>
  <si>
    <t>Right of Interment</t>
  </si>
  <si>
    <t xml:space="preserve">The purchase of a ‘Right of Interment’, entitles the holder to determine whose human remains can be interred in a specified interment site (including burial, </t>
  </si>
  <si>
    <t xml:space="preserve">crypt, vault or ash memorial). The Right of Interment fee includes maintenance of the site by the cemetery operator for the length of time the Right of </t>
  </si>
  <si>
    <t>Interment is held, referred to as the tenure period.</t>
  </si>
  <si>
    <t xml:space="preserve">The costs incurred by a cemetery operator that are attributable towards providing a licence can include:
</t>
  </si>
  <si>
    <r>
      <rPr>
        <b/>
        <sz val="10"/>
        <rFont val="Calibri"/>
        <family val="2"/>
      </rPr>
      <t>Land Value</t>
    </r>
    <r>
      <rPr>
        <sz val="10"/>
        <rFont val="Calibri"/>
        <family val="2"/>
        <scheme val="minor"/>
      </rPr>
      <t xml:space="preserve"> – exclusive access to a specified site for the tenure period</t>
    </r>
  </si>
  <si>
    <r>
      <rPr>
        <b/>
        <sz val="10"/>
        <rFont val="Calibri"/>
        <family val="2"/>
      </rPr>
      <t>Site Development</t>
    </r>
    <r>
      <rPr>
        <sz val="10"/>
        <rFont val="Calibri"/>
        <family val="2"/>
        <scheme val="minor"/>
      </rPr>
      <t xml:space="preserve"> – the cost to prepare and develop the site</t>
    </r>
  </si>
  <si>
    <r>
      <rPr>
        <b/>
        <sz val="10"/>
        <rFont val="Calibri"/>
        <family val="2"/>
      </rPr>
      <t>Site Maintenance</t>
    </r>
    <r>
      <rPr>
        <sz val="10"/>
        <rFont val="Calibri"/>
        <family val="2"/>
        <scheme val="minor"/>
      </rPr>
      <t xml:space="preserve"> - the total cost incurred by the cemetery operator in maintaining the site, throughout the tenure period</t>
    </r>
  </si>
  <si>
    <t xml:space="preserve">    (either a defined renewable period or in perpetuity).</t>
  </si>
  <si>
    <r>
      <rPr>
        <b/>
        <sz val="10"/>
        <rFont val="Calibri"/>
        <family val="2"/>
      </rPr>
      <t>Step 3</t>
    </r>
    <r>
      <rPr>
        <sz val="10"/>
        <rFont val="Calibri"/>
        <family val="2"/>
        <scheme val="minor"/>
      </rPr>
      <t>. A proportion of the fair value of cemetery land is apportioned to each right of interment, based on the area of land occupied by the interment site.</t>
    </r>
  </si>
  <si>
    <t>Contract of Sale, Council Rates Notice or Independent Valuation. Records Management Data for total Right of Interment</t>
  </si>
  <si>
    <r>
      <rPr>
        <b/>
        <sz val="10"/>
        <rFont val="Calibri"/>
        <family val="2"/>
      </rPr>
      <t>Step 4</t>
    </r>
    <r>
      <rPr>
        <sz val="10"/>
        <rFont val="Calibri"/>
        <family val="2"/>
        <scheme val="minor"/>
      </rPr>
      <t xml:space="preserve">. Site Development Costs refers to the cost of materials, contractors and labour incurred by the cemetery operator to create each section of a </t>
    </r>
  </si>
  <si>
    <t>cemetery and provide individual interment sites prior to sale.</t>
  </si>
  <si>
    <t>Contractor Invoices, Quantity Surveyor, Asset Registry, Property Valuation (Improvements)</t>
  </si>
  <si>
    <r>
      <rPr>
        <b/>
        <sz val="10"/>
        <rFont val="Calibri"/>
        <family val="2"/>
      </rPr>
      <t>Step 5</t>
    </r>
    <r>
      <rPr>
        <sz val="10"/>
        <rFont val="Calibri"/>
        <family val="2"/>
        <scheme val="minor"/>
      </rPr>
      <t xml:space="preserve">. For each type of product or service (e.g. Interments services may include earth burial, mausoleum crypt, columbarium wall and vault interment), </t>
    </r>
  </si>
  <si>
    <t xml:space="preserve">the amount of labour (resources) and the level of activity (number of interments, cremations or right of interments) are entered into the following </t>
  </si>
  <si>
    <t>'Calculation' Sheets to establish the cost of each individual product and service.</t>
  </si>
  <si>
    <t>Sales activity data for total interments, burial team for labour hours and equipment used, price list for interment descriptions.</t>
  </si>
  <si>
    <t>Records management data for total right of interments, grounds team for labour hours and equipment used, price list for 'right of interment' descriptions.</t>
  </si>
  <si>
    <t>Sales activity data of crematorium service, cremation team for labour hours and equipment used, price list for the crematorium services provided.</t>
  </si>
  <si>
    <t>Pricing Transparency Templates - Output Sheets</t>
  </si>
  <si>
    <r>
      <rPr>
        <b/>
        <sz val="10"/>
        <rFont val="Calibri"/>
        <family val="2"/>
      </rPr>
      <t>Step 6</t>
    </r>
    <r>
      <rPr>
        <sz val="10"/>
        <rFont val="Calibri"/>
        <family val="2"/>
        <scheme val="minor"/>
      </rPr>
      <t xml:space="preserve">. The individual products and services created in Step 5, will automatically populate the drop down menus on the following Pricing Transparency </t>
    </r>
  </si>
  <si>
    <t xml:space="preserve">Templates, enabling the user to populate each template as required. </t>
  </si>
  <si>
    <t>Selections will be based on user preferences.  Cremation services 'menu items' are based the 'Crematorium Services' entered on the Cremations Calculation Sheet</t>
  </si>
  <si>
    <t>Selections will be based on user preferences.</t>
  </si>
  <si>
    <t>Real Discount Rate</t>
  </si>
  <si>
    <r>
      <rPr>
        <b/>
        <sz val="10"/>
        <rFont val="Calibri"/>
        <family val="2"/>
      </rPr>
      <t>Investment Rate</t>
    </r>
    <r>
      <rPr>
        <sz val="10"/>
        <rFont val="Calibri"/>
        <family val="2"/>
        <scheme val="minor"/>
      </rPr>
      <t xml:space="preserve">:  This is the annual rate of return without inflation, at which the fees paid at the beginning of the right of interment tenure can be invested.  </t>
    </r>
  </si>
  <si>
    <t xml:space="preserve">This Investment rate is used as the Real Discount Rate to convert future costs and payments into present value terms.  For simplicity, the average cost of </t>
  </si>
  <si>
    <t>maintenance per year is used when calculating the Net Present Value.  As escalation is not applied, a real discount rate is also applied.</t>
  </si>
  <si>
    <r>
      <rPr>
        <b/>
        <sz val="10"/>
        <color theme="1"/>
        <rFont val="Calibri"/>
        <family val="2"/>
      </rPr>
      <t>Purpose</t>
    </r>
    <r>
      <rPr>
        <sz val="10"/>
        <color theme="1"/>
        <rFont val="Calibri"/>
        <family val="2"/>
        <scheme val="minor"/>
      </rPr>
      <t>: This worksheet represents the Basic Cremation Pricing Template.</t>
    </r>
  </si>
  <si>
    <r>
      <rPr>
        <b/>
        <sz val="10"/>
        <color theme="1"/>
        <rFont val="Calibri"/>
        <family val="2"/>
      </rPr>
      <t>Instructions</t>
    </r>
    <r>
      <rPr>
        <sz val="10"/>
        <color theme="1"/>
        <rFont val="Calibri"/>
        <family val="2"/>
        <scheme val="minor"/>
      </rPr>
      <t>:</t>
    </r>
  </si>
  <si>
    <r>
      <rPr>
        <b/>
        <sz val="10"/>
        <color theme="1"/>
        <rFont val="Calibri"/>
        <family val="2"/>
      </rPr>
      <t>Crematorium Services</t>
    </r>
    <r>
      <rPr>
        <sz val="10"/>
        <color theme="1"/>
        <rFont val="Calibri"/>
        <family val="2"/>
        <scheme val="minor"/>
      </rPr>
      <t xml:space="preserve"> are selected for the drop-down item menus. Items listed can be edited by changing the 'Crematorium Services'</t>
    </r>
  </si>
  <si>
    <t>included on the Crematorium Calculation Sheet.</t>
  </si>
  <si>
    <r>
      <rPr>
        <b/>
        <sz val="10"/>
        <color theme="1"/>
        <rFont val="Calibri"/>
        <family val="2"/>
      </rPr>
      <t>User Select:</t>
    </r>
    <r>
      <rPr>
        <sz val="10"/>
        <color theme="1"/>
        <rFont val="Calibri"/>
        <family val="2"/>
        <scheme val="minor"/>
      </rPr>
      <t xml:space="preserve"> enables preselected Crematorium Services to be either Includes or Excluded from the Cremation pricing Template</t>
    </r>
  </si>
  <si>
    <t>User Preferences</t>
  </si>
  <si>
    <t>Price breakdown element</t>
  </si>
  <si>
    <t>Description of this Element</t>
  </si>
  <si>
    <t>Operator Specific Information
(if relevant)</t>
  </si>
  <si>
    <t>Price
(excl. GST)</t>
  </si>
  <si>
    <t>Cost
(excl. GST)</t>
  </si>
  <si>
    <t>Crematorium Service
(user select)</t>
  </si>
  <si>
    <t>User Select</t>
  </si>
  <si>
    <t>Instructions</t>
  </si>
  <si>
    <t>Collection and Storage</t>
  </si>
  <si>
    <t>Collection and transportation</t>
  </si>
  <si>
    <t xml:space="preserve">Collection and transportation of the deceased to the crematorium, if provided by the operator. </t>
  </si>
  <si>
    <t>Cremation</t>
  </si>
  <si>
    <t>Include</t>
  </si>
  <si>
    <t>Storage</t>
  </si>
  <si>
    <t>Storage of the deceased in a mortuary or holding room</t>
  </si>
  <si>
    <t>Off Site Storage</t>
  </si>
  <si>
    <t>e.g. off site storage cost to crematorium prior to cremation.</t>
  </si>
  <si>
    <t>Administrative costs of the cremation</t>
  </si>
  <si>
    <t xml:space="preserve">Administrative processes required before a cremation such as validation of the death certificate and other legal requirements. </t>
  </si>
  <si>
    <t>Administration and Validation of Death Certificate</t>
  </si>
  <si>
    <t>Preparation</t>
  </si>
  <si>
    <t>General activities required to prepare for a cremation</t>
  </si>
  <si>
    <t>Included in cost of cremation</t>
  </si>
  <si>
    <t>Costs of cremation, including the costs of gas or other fuel
Any costs required to prepare the ashes for collection</t>
  </si>
  <si>
    <t>Includes gas, use of cremators and processing of ashes (e.g. cremulator)</t>
  </si>
  <si>
    <t>Urn, or vessel for cremated human remains</t>
  </si>
  <si>
    <t>Any vessel provided to store and return ashes</t>
  </si>
  <si>
    <t>e.g. the unit cost of the urn used to supply the ashes to the customer after cremation</t>
  </si>
  <si>
    <t>Religious, Cultural or Spiritual (if applicable)</t>
  </si>
  <si>
    <t>Religious, cultural or spiritual requirements</t>
  </si>
  <si>
    <t xml:space="preserve">Details of religious,  cultural or spiritual requirements included and an explanation of the components of the price. For example, witness insertion costs. </t>
  </si>
  <si>
    <t>Witness Insertion</t>
  </si>
  <si>
    <t>Collection after Cremation</t>
  </si>
  <si>
    <t>Processing of cremated human remains after cremation</t>
  </si>
  <si>
    <t>Details of any fee related to the processing of cremated remains for collection. The collection service may be provided by a funeral director or collection may be by family members which has no fee involved therefore N/A.</t>
  </si>
  <si>
    <t>Collection of Ashes</t>
  </si>
  <si>
    <t>Administration time to updating crematorium records, collect ashes from crematorium and provide to customer.</t>
  </si>
  <si>
    <t>Additional Services or Product Fees</t>
  </si>
  <si>
    <t>Items or components that are not included in the above sections e.g. flowers, chapel hire, catering</t>
  </si>
  <si>
    <t>Each component should be clearly itemised, and details provided.
Includes any additional fees for example if an 'Out of Area' fee is applied by council operators to customers residing outside of the council area.</t>
  </si>
  <si>
    <t>Total</t>
  </si>
  <si>
    <r>
      <rPr>
        <b/>
        <sz val="10"/>
        <color theme="1"/>
        <rFont val="Calibri"/>
        <family val="2"/>
      </rPr>
      <t>Purpose</t>
    </r>
    <r>
      <rPr>
        <sz val="10"/>
        <color theme="1"/>
        <rFont val="Calibri"/>
        <family val="2"/>
        <scheme val="minor"/>
      </rPr>
      <t xml:space="preserve">: This worksheet represents the Basic Adult Burial and Basic Ash Interment Pricing Template. </t>
    </r>
  </si>
  <si>
    <r>
      <rPr>
        <b/>
        <sz val="10"/>
        <color theme="1"/>
        <rFont val="Calibri"/>
        <family val="2"/>
      </rPr>
      <t xml:space="preserve">User Selection: </t>
    </r>
    <r>
      <rPr>
        <sz val="10"/>
        <color theme="1"/>
        <rFont val="Calibri"/>
        <family val="2"/>
      </rPr>
      <t>Select items specific to the customer requirements.  To edit</t>
    </r>
    <r>
      <rPr>
        <sz val="10"/>
        <color theme="1"/>
        <rFont val="Calibri"/>
        <family val="2"/>
        <scheme val="minor"/>
      </rPr>
      <t xml:space="preserve"> the Items listed, click 'Edit Menu'</t>
    </r>
  </si>
  <si>
    <t>Price Breakdown Element</t>
  </si>
  <si>
    <t>Description of the Element</t>
  </si>
  <si>
    <t>User Selection</t>
  </si>
  <si>
    <t>Right to Interment (bury or place) body or ashes in a particular location in a cemetery</t>
  </si>
  <si>
    <t>Administration – Interment right</t>
  </si>
  <si>
    <t xml:space="preserve">Preparation of key documentation and associated activities to issue an interment right (the right to be buried in a particular location) including: 
- Consumer Contract
- Interment Right Certificate </t>
  </si>
  <si>
    <t>Head and Beam</t>
  </si>
  <si>
    <t>&lt;&lt;== Select Right of Interment</t>
  </si>
  <si>
    <t>Edit Menu</t>
  </si>
  <si>
    <t>Land Value</t>
  </si>
  <si>
    <t xml:space="preserve">Relevant proportion of the cost of purchasing land for the cemetery </t>
  </si>
  <si>
    <t>Earth Burial</t>
  </si>
  <si>
    <t>&lt;&lt;=== Select Site Type</t>
  </si>
  <si>
    <t>Site Development</t>
  </si>
  <si>
    <r>
      <t xml:space="preserve">Relevant proportion of the cost of developing land for the cemetery, or the specific area of the cemetery </t>
    </r>
    <r>
      <rPr>
        <i/>
        <sz val="10"/>
        <rFont val="Calibri"/>
        <family val="2"/>
        <scheme val="minor"/>
      </rPr>
      <t>(Applies to new cemetery development only)</t>
    </r>
    <r>
      <rPr>
        <sz val="10"/>
        <rFont val="Calibri"/>
        <family val="2"/>
        <scheme val="minor"/>
      </rPr>
      <t>. For renewable tenure this would include the costs of preparing a grave site for resale.</t>
    </r>
  </si>
  <si>
    <t>Lawn Beam</t>
  </si>
  <si>
    <t>&lt;&lt;== Select Site Description</t>
  </si>
  <si>
    <t>Renewable Tenure</t>
  </si>
  <si>
    <t>Perpetual Maintenance</t>
  </si>
  <si>
    <t>Cost per year</t>
  </si>
  <si>
    <t>Share of cost of activities required to maintain the site and the cemetery. Operator to specify whether perpetual maintenance (future) is included.</t>
  </si>
  <si>
    <t>&lt;&lt;== Select Tenure Type.
For a renewable tenure, enter the tenure term in years.</t>
  </si>
  <si>
    <t>Cost of cremation, if included in the Basic Ash Interment</t>
  </si>
  <si>
    <t>Administration – Cremation</t>
  </si>
  <si>
    <t>Administrative costs or fees associated with the cremation, including any mortuary storage costs or transportation costs that apply.</t>
  </si>
  <si>
    <t>&gt;&gt;&gt; Select Cremation Service Fees</t>
  </si>
  <si>
    <t>Burial or placement of a body or ashes in grave or built structure</t>
  </si>
  <si>
    <t>Burial, or Placement</t>
  </si>
  <si>
    <t xml:space="preserve">Burial of bodily remains in the ground, including excavation (digging a grave to the appropriate size and depth) and landscaping the site after burial, or
Placement of bodily remains elsewhere than in the ground (e.g. crypt, mausoleum).
Placement of ashes in the ground or another structure (such as a columbarium or niche wall) </t>
  </si>
  <si>
    <t>&lt;&lt;== Select Interment Service</t>
  </si>
  <si>
    <t>Administration / Overheads</t>
  </si>
  <si>
    <t>Administrative costs associated with the burial or placement of the ashes, for example issuing the Order for Interment (required to confirm all details correct before burial/placement occurs)</t>
  </si>
  <si>
    <t>Memorial (if applicable)</t>
  </si>
  <si>
    <t>Plaque, monument, headstone or other item to be installed on a site to commemorate or identify</t>
  </si>
  <si>
    <t>Engraving and/or placement of a memorial</t>
  </si>
  <si>
    <t>e.g. stonemason, memorial plaque, inscription, vigil lamp, vase, decorative urn, headstone</t>
  </si>
  <si>
    <t>Details of religious,  cultural or spiritual requirements included and an explanation of the components of the price. For example interment within 24 hours requiring staff overtime, backfill by hand requiring additional labour or witness insertion costs.</t>
  </si>
  <si>
    <t>Include any additional costs specific to religious or cultural requirements (e.g. staff overtime due to Interment within 24hrs, additional labour time when backfilling a site by hand, witness cremation insertion)</t>
  </si>
  <si>
    <t>Additional fees, services or products (if applicable)</t>
  </si>
  <si>
    <t xml:space="preserve"> e.g. flowers, funeral service by operator, catering, lounge/reflection rooms, hire of tent, chairs, podium, live streaming, recording of service</t>
  </si>
  <si>
    <t>Additional fees</t>
  </si>
  <si>
    <t>e.g. 'Out of Area' fee applied by council operators to customers residing outside of the council area.</t>
  </si>
  <si>
    <t>Discounts (if applicable)</t>
  </si>
  <si>
    <t>Discounts or extra fees</t>
  </si>
  <si>
    <t>For example if a discount is offered to local ratepayers by council operators.</t>
  </si>
  <si>
    <t>Include as a negative amount. e.g. discount rate to local ratepayers by council operators</t>
  </si>
  <si>
    <r>
      <rPr>
        <b/>
        <sz val="10"/>
        <color theme="1"/>
        <rFont val="Calibri"/>
        <family val="2"/>
      </rPr>
      <t>Purpose</t>
    </r>
    <r>
      <rPr>
        <sz val="10"/>
        <color theme="1"/>
        <rFont val="Calibri"/>
        <family val="2"/>
        <scheme val="minor"/>
      </rPr>
      <t>: This sheet enables the Operator to list the interment services provided and apportion costs to each services.</t>
    </r>
  </si>
  <si>
    <t>Instructions:</t>
  </si>
  <si>
    <r>
      <rPr>
        <b/>
        <sz val="10"/>
        <color theme="1"/>
        <rFont val="Calibri"/>
        <family val="2"/>
      </rPr>
      <t>Interment Services</t>
    </r>
    <r>
      <rPr>
        <sz val="10"/>
        <color theme="1"/>
        <rFont val="Calibri"/>
        <family val="2"/>
        <scheme val="minor"/>
      </rPr>
      <t xml:space="preserve"> - Enter each type of interment service available (e.g. earth burial, mausoleum crypt).  Services with similar labour requirements and use of equipment can be grouped together (e.g. interment at level 1 and 2)</t>
    </r>
  </si>
  <si>
    <t>Interment Services that require notably different amounts of labour (e.g. inserting shoring equipment, back filling by hand) should be included separately.</t>
  </si>
  <si>
    <r>
      <rPr>
        <b/>
        <sz val="10"/>
        <color theme="1"/>
        <rFont val="Calibri"/>
        <family val="2"/>
      </rPr>
      <t>Total Interments</t>
    </r>
    <r>
      <rPr>
        <sz val="10"/>
        <color theme="1"/>
        <rFont val="Calibri"/>
        <family val="2"/>
        <scheme val="minor"/>
      </rPr>
      <t>: Enter the total number of interments completed within the past 12 month period for each interment Service described.</t>
    </r>
  </si>
  <si>
    <r>
      <rPr>
        <b/>
        <sz val="10"/>
        <color theme="1"/>
        <rFont val="Calibri"/>
        <family val="2"/>
        <scheme val="minor"/>
      </rPr>
      <t>Labour Time</t>
    </r>
    <r>
      <rPr>
        <sz val="10"/>
        <color theme="1"/>
        <rFont val="Calibri"/>
        <family val="2"/>
        <scheme val="minor"/>
      </rPr>
      <t xml:space="preserve">: estimate the total </t>
    </r>
    <r>
      <rPr>
        <i/>
        <sz val="10"/>
        <color theme="1"/>
        <rFont val="Calibri"/>
        <family val="2"/>
      </rPr>
      <t>labour</t>
    </r>
    <r>
      <rPr>
        <i/>
        <sz val="10"/>
        <color theme="1"/>
        <rFont val="Calibri"/>
        <family val="2"/>
        <scheme val="minor"/>
      </rPr>
      <t xml:space="preserve"> time</t>
    </r>
    <r>
      <rPr>
        <sz val="10"/>
        <color theme="1"/>
        <rFont val="Calibri"/>
        <family val="2"/>
        <scheme val="minor"/>
      </rPr>
      <t xml:space="preserve"> in hours to complete each type of interment. (e.g. 2 people working for 1 hour = 2 labour hours)</t>
    </r>
  </si>
  <si>
    <t>Total Labour time should allow for all people involved in all tasks (e.g. confirm site, select equipment, travel to site, excavate site, insert shoring equipment, lead procession, remove setup, back fill site, water in, administration time)</t>
  </si>
  <si>
    <r>
      <rPr>
        <b/>
        <sz val="10"/>
        <color theme="1"/>
        <rFont val="Calibri"/>
        <family val="2"/>
      </rPr>
      <t>Interment Uses Machinery</t>
    </r>
    <r>
      <rPr>
        <sz val="10"/>
        <color theme="1"/>
        <rFont val="Calibri"/>
        <family val="2"/>
        <scheme val="minor"/>
      </rPr>
      <t>: Select 'Yes' where an interment requires the use of machinery included in the 'Plant and Equipment Input' sheet.</t>
    </r>
  </si>
  <si>
    <r>
      <rPr>
        <b/>
        <sz val="10"/>
        <color theme="1"/>
        <rFont val="Calibri"/>
        <family val="2"/>
      </rPr>
      <t>Includes Third Party Costs</t>
    </r>
    <r>
      <rPr>
        <sz val="10"/>
        <color theme="1"/>
        <rFont val="Calibri"/>
        <family val="2"/>
        <scheme val="minor"/>
      </rPr>
      <t>: Select 'Yes' where an interment incurrs costs which are passed directly to the customer. E.g. Interment is done by a contractor outside of the business.</t>
    </r>
  </si>
  <si>
    <t>Cost per Interment</t>
  </si>
  <si>
    <t>Total Cost of Interments</t>
  </si>
  <si>
    <t>Interment Costs</t>
  </si>
  <si>
    <t>Salaries and Wages</t>
  </si>
  <si>
    <t>&gt;&gt;&gt; Update_Salaries_and_Wages</t>
  </si>
  <si>
    <t>Other Staff Costs</t>
  </si>
  <si>
    <t>&gt;&gt;&gt; Update_Other_Staff_Costs</t>
  </si>
  <si>
    <t>Capital Allocation</t>
  </si>
  <si>
    <t>&gt;&gt;&gt; Update_Capital_Allocation</t>
  </si>
  <si>
    <t>Plant and Equipment Costs</t>
  </si>
  <si>
    <t>&gt;&gt;&gt; Update_Plant_and_Equipment_Costs</t>
  </si>
  <si>
    <t>Other Operating Costs</t>
  </si>
  <si>
    <t>&gt;&gt;&gt; Update_Other_Costs</t>
  </si>
  <si>
    <t>Third Party Costs</t>
  </si>
  <si>
    <t>&gt;&gt;&gt; Update_Third Party Costs</t>
  </si>
  <si>
    <t>Overhead Costs</t>
  </si>
  <si>
    <t>&gt;&gt;&gt; Update_Administration_Costs</t>
  </si>
  <si>
    <t>Total Cost</t>
  </si>
  <si>
    <t>Interment Assumptions</t>
  </si>
  <si>
    <t>Interment Services</t>
  </si>
  <si>
    <t>Vault</t>
  </si>
  <si>
    <t>Mausoleum Crypt</t>
  </si>
  <si>
    <t>Ash
Placement</t>
  </si>
  <si>
    <t>Columbarium Wall</t>
  </si>
  <si>
    <t>Contractor Burial</t>
  </si>
  <si>
    <t>Enter Interment Type (e.g. Burial, Vault, Ash Placement)</t>
  </si>
  <si>
    <t>Total Interments</t>
  </si>
  <si>
    <t>Total Interments within the review period</t>
  </si>
  <si>
    <t>Labour Time (hours) per Interment</t>
  </si>
  <si>
    <t>E.g. 3 people x 2 hours = 6 hrs labour time</t>
  </si>
  <si>
    <t>Total Hours per Year</t>
  </si>
  <si>
    <t>Distribution of Labour Costs</t>
  </si>
  <si>
    <t>Interment uses Machinery</t>
  </si>
  <si>
    <t>Yes</t>
  </si>
  <si>
    <t>Select 'Yes' if machinery is required during the interment process (e.g. excavator)</t>
  </si>
  <si>
    <t>Distribution of Machinery Costs</t>
  </si>
  <si>
    <t>Includes Third Party Costs</t>
  </si>
  <si>
    <t>Select 'Yes' if Third Party Costs included on the 'Other Cost Inputs' Tab, apply.</t>
  </si>
  <si>
    <t>Distribution of Third Party Costs</t>
  </si>
  <si>
    <t>Distribution of Overhead Costs</t>
  </si>
  <si>
    <r>
      <rPr>
        <b/>
        <sz val="10"/>
        <color theme="1"/>
        <rFont val="Calibri"/>
        <family val="2"/>
      </rPr>
      <t>Purpose</t>
    </r>
    <r>
      <rPr>
        <sz val="10"/>
        <color theme="1"/>
        <rFont val="Calibri"/>
        <family val="2"/>
        <scheme val="minor"/>
      </rPr>
      <t>: This sheet enables the Operator to list the various 'Right of Interment' options provided and apportion costs to each services.</t>
    </r>
  </si>
  <si>
    <r>
      <rPr>
        <b/>
        <sz val="10"/>
        <color theme="1"/>
        <rFont val="Calibri"/>
        <family val="2"/>
      </rPr>
      <t>Right of Interment - Description</t>
    </r>
    <r>
      <rPr>
        <sz val="10"/>
        <color theme="1"/>
        <rFont val="Calibri"/>
        <family val="2"/>
        <scheme val="minor"/>
      </rPr>
      <t xml:space="preserve"> - Enter each type of 'Right of Interment' available (e.g. General Lawn, Head and Beam).  Products which require similar amount of maintenance and use of equipment can be </t>
    </r>
  </si>
  <si>
    <t>grouped together (e.g. Catholic Lawn, Anglican Lawn, Catholic Vault) Products that require notably different amounts of maintenance (e.g. use of Ride on mower versus garden maintenance) should be included separately.</t>
  </si>
  <si>
    <r>
      <rPr>
        <b/>
        <sz val="10"/>
        <color theme="1"/>
        <rFont val="Calibri"/>
        <family val="2"/>
      </rPr>
      <t>Total Sites</t>
    </r>
    <r>
      <rPr>
        <sz val="10"/>
        <color theme="1"/>
        <rFont val="Calibri"/>
        <family val="2"/>
        <scheme val="minor"/>
      </rPr>
      <t>: Enter the total number of interment sites within each area (Right of Interment Described) of the cemetery.</t>
    </r>
  </si>
  <si>
    <r>
      <rPr>
        <b/>
        <sz val="10"/>
        <color theme="1"/>
        <rFont val="Calibri"/>
        <family val="2"/>
        <scheme val="minor"/>
      </rPr>
      <t>Labour Time</t>
    </r>
    <r>
      <rPr>
        <sz val="10"/>
        <color theme="1"/>
        <rFont val="Calibri"/>
        <family val="2"/>
        <scheme val="minor"/>
      </rPr>
      <t xml:space="preserve">: estimate the average total </t>
    </r>
    <r>
      <rPr>
        <i/>
        <sz val="10"/>
        <color theme="1"/>
        <rFont val="Calibri"/>
        <family val="2"/>
      </rPr>
      <t>labour</t>
    </r>
    <r>
      <rPr>
        <i/>
        <sz val="10"/>
        <color theme="1"/>
        <rFont val="Calibri"/>
        <family val="2"/>
        <scheme val="minor"/>
      </rPr>
      <t xml:space="preserve"> time</t>
    </r>
    <r>
      <rPr>
        <sz val="10"/>
        <color theme="1"/>
        <rFont val="Calibri"/>
        <family val="2"/>
        <scheme val="minor"/>
      </rPr>
      <t xml:space="preserve"> in hours to maintain each area per month. (e.g. 2 people mowing for 1.5 hour = 3 labour hours)</t>
    </r>
  </si>
  <si>
    <t>Total Labour time should allow for all people involved in all maintenance tasks (e.g. mowing, weed spraying, gardening)</t>
  </si>
  <si>
    <r>
      <rPr>
        <b/>
        <sz val="10"/>
        <color theme="1"/>
        <rFont val="Calibri"/>
        <family val="2"/>
      </rPr>
      <t>Maintenance Uses Machinery</t>
    </r>
    <r>
      <rPr>
        <sz val="10"/>
        <color theme="1"/>
        <rFont val="Calibri"/>
        <family val="2"/>
        <scheme val="minor"/>
      </rPr>
      <t>: Select 'Yes' where machinery included in the 'Plant and Equipment Input' sheet is used.</t>
    </r>
  </si>
  <si>
    <r>
      <rPr>
        <b/>
        <sz val="10"/>
        <color theme="1"/>
        <rFont val="Calibri"/>
        <family val="2"/>
      </rPr>
      <t>Includes Third Party Costs</t>
    </r>
    <r>
      <rPr>
        <sz val="10"/>
        <color theme="1"/>
        <rFont val="Calibri"/>
        <family val="2"/>
        <scheme val="minor"/>
      </rPr>
      <t>: Select 'Yes' third party costs are used to maintain the area (e.g. external contractors for mowing, arborist).</t>
    </r>
  </si>
  <si>
    <t>Annual cost per Interment Site</t>
  </si>
  <si>
    <t>Maintenance</t>
  </si>
  <si>
    <t>Annual Cost per Site</t>
  </si>
  <si>
    <t>Total Cost of Ground Maintenance</t>
  </si>
  <si>
    <t>Ground Maintenance Costs</t>
  </si>
  <si>
    <t>Gardening &amp; Horticultural</t>
  </si>
  <si>
    <t>&gt;&gt;&gt; Update_Gardening_and_Horticulture Cost</t>
  </si>
  <si>
    <t>Right of Interment Assumptions</t>
  </si>
  <si>
    <t>Right of Interment - Description</t>
  </si>
  <si>
    <t>General Lawn</t>
  </si>
  <si>
    <t>Children</t>
  </si>
  <si>
    <t>Mausoleum</t>
  </si>
  <si>
    <t>Ashes Rose Garden</t>
  </si>
  <si>
    <t>Feature Garden</t>
  </si>
  <si>
    <t>e.g. General Lawn, Head and Beam, Full Monumental, Mausoleum Crypt, Columbarium Wall</t>
  </si>
  <si>
    <t>Total Sites</t>
  </si>
  <si>
    <t>Total sites within each section of the cemetery or garden area</t>
  </si>
  <si>
    <t>Average Labour Time (hours) per month</t>
  </si>
  <si>
    <t>E.g. 3 people weeding for 2 hours twice a month = (3 x 2 x 2) = 12 hrs weeding per month</t>
  </si>
  <si>
    <t>Distribution of Labour</t>
  </si>
  <si>
    <t>Maintenance uses Machinery</t>
  </si>
  <si>
    <t>Select 'Yes' if machinery utilised (e.g. rise-on-mower, tractor)</t>
  </si>
  <si>
    <t>Distribution of Machinery</t>
  </si>
  <si>
    <r>
      <rPr>
        <b/>
        <sz val="10"/>
        <color theme="1"/>
        <rFont val="Calibri"/>
        <family val="2"/>
      </rPr>
      <t>Purpose</t>
    </r>
    <r>
      <rPr>
        <sz val="10"/>
        <color theme="1"/>
        <rFont val="Calibri"/>
        <family val="2"/>
        <scheme val="minor"/>
      </rPr>
      <t>: This sheet enables the Operator to list the various crematorium services provided and apportion costs to each services.</t>
    </r>
  </si>
  <si>
    <r>
      <rPr>
        <b/>
        <sz val="10"/>
        <color theme="1"/>
        <rFont val="Calibri"/>
        <family val="2"/>
      </rPr>
      <t xml:space="preserve">Crematorium Services </t>
    </r>
    <r>
      <rPr>
        <sz val="10"/>
        <color theme="1"/>
        <rFont val="Calibri"/>
        <family val="2"/>
        <scheme val="minor"/>
      </rPr>
      <t>Enter each service available (e.g. Cremation, transfer from Funeral Director, View Insertion). Services which require similar amount labour and use of equipment can be grouped together.</t>
    </r>
  </si>
  <si>
    <r>
      <rPr>
        <b/>
        <sz val="10"/>
        <color theme="1"/>
        <rFont val="Calibri"/>
        <family val="2"/>
      </rPr>
      <t>Total Sites</t>
    </r>
    <r>
      <rPr>
        <sz val="10"/>
        <color theme="1"/>
        <rFont val="Calibri"/>
        <family val="2"/>
        <scheme val="minor"/>
      </rPr>
      <t>: Enter the total number of each service provided over the 12 month period (e.g. total cremations, insertions witnessed).</t>
    </r>
  </si>
  <si>
    <r>
      <rPr>
        <b/>
        <sz val="10"/>
        <color theme="1"/>
        <rFont val="Calibri"/>
        <family val="2"/>
        <scheme val="minor"/>
      </rPr>
      <t>Labour Time</t>
    </r>
    <r>
      <rPr>
        <sz val="10"/>
        <color theme="1"/>
        <rFont val="Calibri"/>
        <family val="2"/>
        <scheme val="minor"/>
      </rPr>
      <t xml:space="preserve">: estimate the average total </t>
    </r>
    <r>
      <rPr>
        <i/>
        <sz val="10"/>
        <color theme="1"/>
        <rFont val="Calibri"/>
        <family val="2"/>
      </rPr>
      <t>labour</t>
    </r>
    <r>
      <rPr>
        <i/>
        <sz val="10"/>
        <color theme="1"/>
        <rFont val="Calibri"/>
        <family val="2"/>
        <scheme val="minor"/>
      </rPr>
      <t xml:space="preserve"> time</t>
    </r>
    <r>
      <rPr>
        <sz val="10"/>
        <color theme="1"/>
        <rFont val="Calibri"/>
        <family val="2"/>
        <scheme val="minor"/>
      </rPr>
      <t xml:space="preserve"> in hours to provide each service. (e.g. 2 people to insert a coffin in the cremator 10 minutes + 1 person to process ashes 30 minutes = 0.67 labour hours)</t>
    </r>
  </si>
  <si>
    <r>
      <rPr>
        <b/>
        <sz val="10"/>
        <color theme="1"/>
        <rFont val="Calibri"/>
        <family val="2"/>
      </rPr>
      <t>Service Uses Machinery</t>
    </r>
    <r>
      <rPr>
        <sz val="10"/>
        <color theme="1"/>
        <rFont val="Calibri"/>
        <family val="2"/>
        <scheme val="minor"/>
      </rPr>
      <t>: Select 'Yes' where machinery included in the 'Plant and Equipment Input' sheet is used. E.g. Cremulator and cremators for cremations or Van for transfers.</t>
    </r>
  </si>
  <si>
    <r>
      <rPr>
        <b/>
        <sz val="10"/>
        <color theme="1"/>
        <rFont val="Calibri"/>
        <family val="2"/>
      </rPr>
      <t>Includes Third Party Costs</t>
    </r>
    <r>
      <rPr>
        <sz val="10"/>
        <color theme="1"/>
        <rFont val="Calibri"/>
        <family val="2"/>
        <scheme val="minor"/>
      </rPr>
      <t>: Select 'Yes' third party costs are used to provide the service. (e.g. Contract Drivers to perform transfers).</t>
    </r>
  </si>
  <si>
    <t>Cost per Crematorium Service</t>
  </si>
  <si>
    <t>Crematorium Service</t>
  </si>
  <si>
    <t>Cost per Service</t>
  </si>
  <si>
    <t>Total Crematorium Cost</t>
  </si>
  <si>
    <t>Crematorium Service Costs</t>
  </si>
  <si>
    <t>Cremation Costs</t>
  </si>
  <si>
    <t>&gt;&gt;&gt; Update_Crematorium_Costs</t>
  </si>
  <si>
    <t>Crematorium Assumptions</t>
  </si>
  <si>
    <t>Crematorium Services</t>
  </si>
  <si>
    <t>Transfer to Crematorium</t>
  </si>
  <si>
    <t>Other Services</t>
  </si>
  <si>
    <t>e.g. cremations, coffin / casket transfers from funeral director.</t>
  </si>
  <si>
    <t>Total Services</t>
  </si>
  <si>
    <t>Total Services provided within the review period</t>
  </si>
  <si>
    <t>Labour Time (hours) per Service</t>
  </si>
  <si>
    <t>E.g. 2 people x 0.5 hours = 1 hr of labour time</t>
  </si>
  <si>
    <t>Include Direct Crematorium Costs</t>
  </si>
  <si>
    <t>Select 'Yes' if service incurrs direct crematorium costs (click here to view costs)</t>
  </si>
  <si>
    <t>Distribution of Direct Costs</t>
  </si>
  <si>
    <t>Service uses Machinery</t>
  </si>
  <si>
    <t>Select 'Yes' if machinery is required to provide the service (e.g. cremulator, Transfers Van)</t>
  </si>
  <si>
    <r>
      <rPr>
        <b/>
        <sz val="10"/>
        <color theme="1"/>
        <rFont val="Calibri"/>
        <family val="2"/>
      </rPr>
      <t>Purpose</t>
    </r>
    <r>
      <rPr>
        <sz val="10"/>
        <color theme="1"/>
        <rFont val="Calibri"/>
        <family val="2"/>
        <scheme val="minor"/>
      </rPr>
      <t>: This sheet enables the Operator to aportion an amount of the cemetery land value towards the cost of provide an Interment Right.</t>
    </r>
  </si>
  <si>
    <t>Instructions / Definitions:</t>
  </si>
  <si>
    <r>
      <rPr>
        <b/>
        <sz val="10"/>
        <color theme="1"/>
        <rFont val="Calibri"/>
        <family val="2"/>
      </rPr>
      <t>Fair Value</t>
    </r>
    <r>
      <rPr>
        <sz val="10"/>
        <color theme="1"/>
        <rFont val="Calibri"/>
        <family val="2"/>
        <scheme val="minor"/>
      </rPr>
      <t xml:space="preserve"> refers to the price that would be received to sell an asset (e.g. land) or paid to transfer a liability in an orderly transaction between market participants</t>
    </r>
  </si>
  <si>
    <t>at an agreed date under current market conditions (ie sale price at an agreed date from a purchaser)</t>
  </si>
  <si>
    <r>
      <rPr>
        <b/>
        <sz val="10"/>
        <color theme="1"/>
        <rFont val="Calibri"/>
        <family val="2"/>
      </rPr>
      <t xml:space="preserve">Developed Land </t>
    </r>
    <r>
      <rPr>
        <sz val="10"/>
        <color theme="1"/>
        <rFont val="Calibri"/>
        <family val="2"/>
        <scheme val="minor"/>
      </rPr>
      <t>refers to area of land (measured in square meters) that has been adapted (developed) to provide for interments.</t>
    </r>
  </si>
  <si>
    <r>
      <rPr>
        <b/>
        <sz val="10"/>
        <color theme="1"/>
        <rFont val="Calibri"/>
        <family val="2"/>
      </rPr>
      <t>Fallow Land</t>
    </r>
    <r>
      <rPr>
        <sz val="10"/>
        <color theme="1"/>
        <rFont val="Calibri"/>
        <family val="2"/>
        <scheme val="minor"/>
      </rPr>
      <t xml:space="preserve"> refers to the area of cemetery land that has not been adapted and is available for the future development of interment sites.</t>
    </r>
  </si>
  <si>
    <r>
      <rPr>
        <b/>
        <sz val="10"/>
        <color theme="1"/>
        <rFont val="Calibri"/>
        <family val="2"/>
      </rPr>
      <t>Site Description</t>
    </r>
    <r>
      <rPr>
        <sz val="10"/>
        <color theme="1"/>
        <rFont val="Calibri"/>
        <family val="2"/>
        <scheme val="minor"/>
      </rPr>
      <t xml:space="preserve"> is a generic description refering to a collective group of interment sites all with a comparable size. E.g 'Earth Burial' sites may be a collective group refering</t>
    </r>
  </si>
  <si>
    <t>to all 'General Lawn, Monumental, Vault and Head and Beam sites where all are of a similar size.</t>
  </si>
  <si>
    <r>
      <rPr>
        <b/>
        <sz val="10"/>
        <color theme="1"/>
        <rFont val="Calibri"/>
        <family val="2"/>
      </rPr>
      <t>Interment Sites</t>
    </r>
    <r>
      <rPr>
        <sz val="10"/>
        <color theme="1"/>
        <rFont val="Calibri"/>
        <family val="2"/>
        <scheme val="minor"/>
      </rPr>
      <t xml:space="preserve"> is the total number of interment sites within each group (Site description).  When added together, the total number of interment sites equals the total number</t>
    </r>
  </si>
  <si>
    <t>of interment sites within the cemetery.</t>
  </si>
  <si>
    <r>
      <rPr>
        <b/>
        <sz val="10"/>
        <color theme="1"/>
        <rFont val="Calibri"/>
        <family val="2"/>
      </rPr>
      <t>Adjustment Factor</t>
    </r>
    <r>
      <rPr>
        <sz val="10"/>
        <color theme="1"/>
        <rFont val="Calibri"/>
        <family val="2"/>
        <scheme val="minor"/>
      </rPr>
      <t xml:space="preserve"> referes to the size of each site compared to the size of a 'General Burial' site within the cemetery. </t>
    </r>
  </si>
  <si>
    <t xml:space="preserve">For example where interment sites are decribed as 'Earth Burial' and are similar in size to a 'General Burial' site the 'Adjustment Factor' is 1. </t>
  </si>
  <si>
    <t>Alternatively, where 'Ash Memorial' sites are 1/4 the size of a 'General Burial' site, the adjustment factor is 4.</t>
  </si>
  <si>
    <r>
      <rPr>
        <b/>
        <sz val="10"/>
        <color theme="1"/>
        <rFont val="Calibri"/>
        <family val="2"/>
      </rPr>
      <t>Site Land Value</t>
    </r>
    <r>
      <rPr>
        <sz val="10"/>
        <color theme="1"/>
        <rFont val="Calibri"/>
        <family val="2"/>
        <scheme val="minor"/>
      </rPr>
      <t xml:space="preserve"> is the proportion of land value atributed towards the cost of a Right of Interment, calculated as the total value of cemetery land used for the provision </t>
    </r>
  </si>
  <si>
    <t>of interments divided by the total number of adjusted interment sites.</t>
  </si>
  <si>
    <t>Notes</t>
  </si>
  <si>
    <t>Cemetery Land Valuation (Fair Value)</t>
  </si>
  <si>
    <t>&lt;&lt;== Enter the fair value of cemetery land (e.g council or independent land valuation)</t>
  </si>
  <si>
    <t>Cemetery Land</t>
  </si>
  <si>
    <t>Fair Value</t>
  </si>
  <si>
    <t>Area of land (m2)</t>
  </si>
  <si>
    <t>Developed</t>
  </si>
  <si>
    <t>&lt;&lt;== Enter the area of development land (available for Interments)</t>
  </si>
  <si>
    <t>Fallow</t>
  </si>
  <si>
    <t>&lt;&lt;== Enter the area of land that is undeveloped.</t>
  </si>
  <si>
    <t>Total Land</t>
  </si>
  <si>
    <t>Interment Site Land Valuation</t>
  </si>
  <si>
    <t>Site Description</t>
  </si>
  <si>
    <t>Interment Sites</t>
  </si>
  <si>
    <t>Adjustment Factor</t>
  </si>
  <si>
    <t>Adjusted Site</t>
  </si>
  <si>
    <t>Site Land Value</t>
  </si>
  <si>
    <t xml:space="preserve"> </t>
  </si>
  <si>
    <t>Ash Memorial</t>
  </si>
  <si>
    <t>Columbarium</t>
  </si>
  <si>
    <t>&lt;&lt;break&gt;&gt;</t>
  </si>
  <si>
    <r>
      <rPr>
        <b/>
        <sz val="10"/>
        <color theme="1"/>
        <rFont val="Calibri"/>
        <family val="2"/>
      </rPr>
      <t>Purpose</t>
    </r>
    <r>
      <rPr>
        <sz val="10"/>
        <color theme="1"/>
        <rFont val="Calibri"/>
        <family val="2"/>
        <scheme val="minor"/>
      </rPr>
      <t>: This sheet records the cost of developing each area and establishes the site development cost per 'Right of Interment'</t>
    </r>
  </si>
  <si>
    <r>
      <t>Description of Site</t>
    </r>
    <r>
      <rPr>
        <sz val="10"/>
        <color theme="1"/>
        <rFont val="Calibri"/>
        <family val="2"/>
      </rPr>
      <t xml:space="preserve"> - list the various site developments undertaken. E.g. redevelopment of an old section, General lawn, Mausoleum, Niche wall, Feature garden with a water feature.</t>
    </r>
  </si>
  <si>
    <r>
      <t>Total Sites Developed</t>
    </r>
    <r>
      <rPr>
        <sz val="10"/>
        <color theme="1"/>
        <rFont val="Calibri"/>
        <family val="2"/>
      </rPr>
      <t xml:space="preserve"> - include the number of 'Right of Interment' yielded from the area developed.</t>
    </r>
  </si>
  <si>
    <r>
      <t>Development Costs</t>
    </r>
    <r>
      <rPr>
        <sz val="10"/>
        <color theme="1"/>
        <rFont val="Calibri"/>
        <family val="2"/>
        <scheme val="minor"/>
      </rPr>
      <t xml:space="preserve"> - provide a brief description of each cost and include the relevant cost under the area developed.  For example if a contractor was used t build the mausoleum, or the area includes irrigation.</t>
    </r>
  </si>
  <si>
    <t>Development Cost per Site</t>
  </si>
  <si>
    <t>Total Development Cost</t>
  </si>
  <si>
    <t>Development Costs</t>
  </si>
  <si>
    <t>Irrigation</t>
  </si>
  <si>
    <t>Site Map</t>
  </si>
  <si>
    <t>Internal Labour</t>
  </si>
  <si>
    <t>Markers</t>
  </si>
  <si>
    <t>Grave Marker</t>
  </si>
  <si>
    <t>Beams</t>
  </si>
  <si>
    <t>Approx. $300 per meter</t>
  </si>
  <si>
    <t xml:space="preserve">Pathway </t>
  </si>
  <si>
    <t>Replace path</t>
  </si>
  <si>
    <t>Site Clearing</t>
  </si>
  <si>
    <t>Clear and crush stone</t>
  </si>
  <si>
    <t>Contractor</t>
  </si>
  <si>
    <t>Contractor Invoice</t>
  </si>
  <si>
    <t>Assumptions</t>
  </si>
  <si>
    <t>Description of Site</t>
  </si>
  <si>
    <t>Basic</t>
  </si>
  <si>
    <t>Redevelop</t>
  </si>
  <si>
    <t>Brief description for each type of development</t>
  </si>
  <si>
    <t>Total Sites Developed</t>
  </si>
  <si>
    <t>The combined number of sites yielded from each development</t>
  </si>
  <si>
    <r>
      <rPr>
        <b/>
        <sz val="10"/>
        <color theme="1"/>
        <rFont val="Calibri"/>
        <family val="2"/>
      </rPr>
      <t>Purpose</t>
    </r>
    <r>
      <rPr>
        <sz val="10"/>
        <color theme="1"/>
        <rFont val="Calibri"/>
        <family val="2"/>
        <scheme val="minor"/>
      </rPr>
      <t>: This sheet presents a summary of the total costs included within this workbook and aportions Overhead costs to each service area.</t>
    </r>
  </si>
  <si>
    <r>
      <rPr>
        <b/>
        <sz val="10"/>
        <color theme="1"/>
        <rFont val="Calibri"/>
        <family val="2"/>
      </rPr>
      <t>Instructions</t>
    </r>
    <r>
      <rPr>
        <sz val="10"/>
        <color theme="1"/>
        <rFont val="Calibri"/>
        <family val="2"/>
        <scheme val="minor"/>
      </rPr>
      <t xml:space="preserve"> No user input is required on this sheet. Users can check the total amount is equal to source data.</t>
    </r>
  </si>
  <si>
    <t>Operating Expenses</t>
  </si>
  <si>
    <t>Normalised</t>
  </si>
  <si>
    <t>Interments</t>
  </si>
  <si>
    <t>Ground Maintenance</t>
  </si>
  <si>
    <t>Cremations</t>
  </si>
  <si>
    <t>Overheads</t>
  </si>
  <si>
    <t>Administrative Costs</t>
  </si>
  <si>
    <t>Total Operating Expenses</t>
  </si>
  <si>
    <r>
      <t>Purpose:</t>
    </r>
    <r>
      <rPr>
        <sz val="10"/>
        <rFont val="Calibri"/>
        <family val="2"/>
        <scheme val="minor"/>
      </rPr>
      <t xml:space="preserve"> T</t>
    </r>
    <r>
      <rPr>
        <sz val="10"/>
        <rFont val="Calibri"/>
        <family val="2"/>
      </rPr>
      <t>his sheet identifies all of the Operators internal Salaries and Wages for each service area and administration.</t>
    </r>
  </si>
  <si>
    <r>
      <rPr>
        <b/>
        <sz val="10"/>
        <rFont val="Calibri"/>
        <family val="2"/>
        <scheme val="minor"/>
      </rPr>
      <t>12 Month Total</t>
    </r>
    <r>
      <rPr>
        <sz val="10"/>
        <rFont val="Calibri"/>
        <family val="2"/>
        <scheme val="minor"/>
      </rPr>
      <t>: - Enter the total salaries and wages for each service area provided.</t>
    </r>
  </si>
  <si>
    <t>The ‘12 Month Total’ should include all salaries and wages for persons associated with each cemetery service.  Where an individual provides</t>
  </si>
  <si>
    <t>multiple services (e.g interments and ground maintenance) their salary should be apportioned across both service.</t>
  </si>
  <si>
    <t xml:space="preserve">Salaries and wages for other services provided by an operator (such as Reflection Rooms and Lounge services, Catering, ornamental urn sales) should be included </t>
  </si>
  <si>
    <t>as ‘Other Services’.</t>
  </si>
  <si>
    <t>Overhead Salaries includes Sales, Administration, HR, Management and all other office staff.</t>
  </si>
  <si>
    <r>
      <rPr>
        <b/>
        <sz val="10"/>
        <rFont val="Calibri"/>
        <family val="2"/>
        <scheme val="minor"/>
      </rPr>
      <t>Adjustments</t>
    </r>
    <r>
      <rPr>
        <sz val="10"/>
        <rFont val="Calibri"/>
        <family val="2"/>
        <scheme val="minor"/>
      </rPr>
      <t>: - Include any adjustments required to reflect the expected average (normal) forecast salaries and wages (e.g vacant positions)</t>
    </r>
  </si>
  <si>
    <t>Do not insert additional rows into this worksheet</t>
  </si>
  <si>
    <t>Cemetery Services</t>
  </si>
  <si>
    <t>12 Month Total</t>
  </si>
  <si>
    <t>Adjustments</t>
  </si>
  <si>
    <t>May be split between Interment and Ground Maintenance.</t>
  </si>
  <si>
    <t>May include Cremation and pick-ups from Funeral Directors</t>
  </si>
  <si>
    <t>E.g. Chapel Services, Café, Garden Development</t>
  </si>
  <si>
    <t>includes Sales, Administration, HR, Management Staff</t>
  </si>
  <si>
    <r>
      <rPr>
        <b/>
        <sz val="10"/>
        <color theme="1"/>
        <rFont val="Calibri"/>
        <family val="2"/>
      </rPr>
      <t>Purpose:</t>
    </r>
    <r>
      <rPr>
        <sz val="10"/>
        <color theme="1"/>
        <rFont val="Calibri"/>
        <family val="2"/>
        <scheme val="minor"/>
      </rPr>
      <t xml:space="preserve"> This sheet caputurs the actual costs (what was spent) for each area of the business.</t>
    </r>
  </si>
  <si>
    <r>
      <rPr>
        <b/>
        <sz val="10"/>
        <color theme="1"/>
        <rFont val="Calibri"/>
        <family val="2"/>
      </rPr>
      <t xml:space="preserve">Instructions. </t>
    </r>
    <r>
      <rPr>
        <sz val="10"/>
        <color theme="1"/>
        <rFont val="Calibri"/>
        <family val="2"/>
        <scheme val="minor"/>
      </rPr>
      <t xml:space="preserve"> Additional rows can be inserted as required.</t>
    </r>
  </si>
  <si>
    <t>Other Staff Costs: Include all costs relating to staff excluding salaries and wages, agency staff or contractors.</t>
  </si>
  <si>
    <t>Meal and Entertainment</t>
  </si>
  <si>
    <t>Other payroll</t>
  </si>
  <si>
    <t>Other staff related expenses</t>
  </si>
  <si>
    <t>Recruitment</t>
  </si>
  <si>
    <t>Staff amenities</t>
  </si>
  <si>
    <t>Staff Travel Expenses</t>
  </si>
  <si>
    <t>Superannuation</t>
  </si>
  <si>
    <t>Training &amp; conferences</t>
  </si>
  <si>
    <t>Training &amp; Development</t>
  </si>
  <si>
    <t>Uniforms &amp; boots</t>
  </si>
  <si>
    <t>Workers Compensation</t>
  </si>
  <si>
    <t>Gardening &amp; Horticultural: Include all costs relating to ground maintenance and the upkeep of cemetery gardens.</t>
  </si>
  <si>
    <t>Fertiliser, compost, manure</t>
  </si>
  <si>
    <t>Grass cutting</t>
  </si>
  <si>
    <t>Herbicide</t>
  </si>
  <si>
    <t>Landscaping</t>
  </si>
  <si>
    <t>Mulching/chipping</t>
  </si>
  <si>
    <t>Other Ground Maintenance</t>
  </si>
  <si>
    <t>Paths</t>
  </si>
  <si>
    <t>Tree maintenance</t>
  </si>
  <si>
    <t>Turf</t>
  </si>
  <si>
    <t>Water</t>
  </si>
  <si>
    <t>Cremation Costs: include all costs associated with crematorium services</t>
  </si>
  <si>
    <t>Cremator Gas</t>
  </si>
  <si>
    <t>Urns For Cremated Remains</t>
  </si>
  <si>
    <t>Plant and Equipment Expenses: includes all costs associated with maintaing and operating plant and equipment.</t>
  </si>
  <si>
    <t>Plant and Equipment Expenses</t>
  </si>
  <si>
    <t>Fuel</t>
  </si>
  <si>
    <t>Insurance</t>
  </si>
  <si>
    <t>Motor Vehicle Expenses</t>
  </si>
  <si>
    <t>Registration</t>
  </si>
  <si>
    <t>Administrative Costs. Includes all costs not related to business services but are required for general business operations.</t>
  </si>
  <si>
    <t>Administration Support</t>
  </si>
  <si>
    <t>Audit Fees</t>
  </si>
  <si>
    <t>Bank charges</t>
  </si>
  <si>
    <t>Bookkeeping</t>
  </si>
  <si>
    <t>Conference Attendance</t>
  </si>
  <si>
    <t>Consultancies</t>
  </si>
  <si>
    <t>Insurances</t>
  </si>
  <si>
    <t>IT Expenses</t>
  </si>
  <si>
    <t>Legal Fees</t>
  </si>
  <si>
    <t>Marketing and Advertising</t>
  </si>
  <si>
    <t>Mobiles/Telephone</t>
  </si>
  <si>
    <t>Other admin expenses</t>
  </si>
  <si>
    <t>Photocopying</t>
  </si>
  <si>
    <t>Postage &amp; couriers</t>
  </si>
  <si>
    <t>Printing &amp; stationery</t>
  </si>
  <si>
    <t>Professional/Membership fees</t>
  </si>
  <si>
    <t>Record Management</t>
  </si>
  <si>
    <t>Subscriptions</t>
  </si>
  <si>
    <t>Utilities (excl Water)</t>
  </si>
  <si>
    <t>Waste disposal</t>
  </si>
  <si>
    <t>Website</t>
  </si>
  <si>
    <r>
      <rPr>
        <b/>
        <sz val="10"/>
        <color theme="1"/>
        <rFont val="Calibri"/>
        <family val="2"/>
      </rPr>
      <t>Purpose:</t>
    </r>
    <r>
      <rPr>
        <sz val="10"/>
        <color theme="1"/>
        <rFont val="Calibri"/>
        <family val="2"/>
        <scheme val="minor"/>
      </rPr>
      <t xml:space="preserve"> This sheet captures actual costs (what was spent) that impact multiple areas of the business along with any third party costs that are passed directly to the customer.</t>
    </r>
  </si>
  <si>
    <r>
      <rPr>
        <b/>
        <sz val="10"/>
        <color theme="1"/>
        <rFont val="Calibri"/>
        <family val="2"/>
      </rPr>
      <t>Note:</t>
    </r>
    <r>
      <rPr>
        <sz val="10"/>
        <color theme="1"/>
        <rFont val="Calibri"/>
        <family val="2"/>
        <scheme val="minor"/>
      </rPr>
      <t xml:space="preserve"> When estimating the cost to provide cemetery services (Right of Interment, interment and Cremations), all other services provided by an operator (such as Reflection Rooms and Lounge services, </t>
    </r>
  </si>
  <si>
    <t>Catering, ornamental urn sales) should be grouped as ‘Other Services’ and the applicable cost apportioned to prevent overstating the true cost of the cemetery services being costed.</t>
  </si>
  <si>
    <t>Pass Through Costs include contractor costs relating specific services (e.g. contract mowing of cemetery lawns).</t>
  </si>
  <si>
    <t>Pass Through Costs</t>
  </si>
  <si>
    <t>Check</t>
  </si>
  <si>
    <t>Contract Interments</t>
  </si>
  <si>
    <t>Contract Cremations</t>
  </si>
  <si>
    <t>Contract Mowing</t>
  </si>
  <si>
    <t>Contract FD transfers</t>
  </si>
  <si>
    <t>Other Operating Costs relate to multiple services and need to be apportioned (e.g. Temporary staff may impact Interments and ground Maintenance and Administration)</t>
  </si>
  <si>
    <t>Other Costs</t>
  </si>
  <si>
    <t>Catering</t>
  </si>
  <si>
    <t>Hire of Equipment</t>
  </si>
  <si>
    <t>Memorial Expenses</t>
  </si>
  <si>
    <t>Plaques/Slopes</t>
  </si>
  <si>
    <t>Other Supplies &amp; Services</t>
  </si>
  <si>
    <t>Repairs &amp; Maintenance</t>
  </si>
  <si>
    <t>Section Development costs</t>
  </si>
  <si>
    <t>Included separately as development costs</t>
  </si>
  <si>
    <t>Small Plant and Equipment</t>
  </si>
  <si>
    <t>Temporary Staff</t>
  </si>
  <si>
    <t>Volunteer Expenses</t>
  </si>
  <si>
    <r>
      <rPr>
        <b/>
        <sz val="10"/>
        <color theme="1"/>
        <rFont val="Calibri"/>
        <family val="2"/>
      </rPr>
      <t>Purpose:</t>
    </r>
    <r>
      <rPr>
        <sz val="10"/>
        <color theme="1"/>
        <rFont val="Calibri"/>
        <family val="2"/>
        <scheme val="minor"/>
      </rPr>
      <t xml:space="preserve">  This sheet estimates the average amount spent each year to replace plant and equipment.</t>
    </r>
  </si>
  <si>
    <r>
      <rPr>
        <b/>
        <sz val="10"/>
        <color theme="1"/>
        <rFont val="Calibri"/>
        <family val="2"/>
      </rPr>
      <t>Plant and Equipment</t>
    </r>
    <r>
      <rPr>
        <sz val="10"/>
        <color theme="1"/>
        <rFont val="Calibri"/>
        <family val="2"/>
        <scheme val="minor"/>
      </rPr>
      <t xml:space="preserve"> is a list of all assets that will be owned for more than 12 months and are of reasonable worth (include excavators and vehicles, do not include shovels and wheelbarrows).</t>
    </r>
  </si>
  <si>
    <r>
      <rPr>
        <b/>
        <sz val="10"/>
        <color theme="1"/>
        <rFont val="Calibri"/>
        <family val="2"/>
      </rPr>
      <t>Replacement Cost</t>
    </r>
    <r>
      <rPr>
        <sz val="10"/>
        <color theme="1"/>
        <rFont val="Calibri"/>
        <family val="2"/>
        <scheme val="minor"/>
      </rPr>
      <t xml:space="preserve"> is the estimated cost to replace each item, noting this may be different to the original purchase price.</t>
    </r>
  </si>
  <si>
    <r>
      <rPr>
        <b/>
        <sz val="10"/>
        <color theme="1"/>
        <rFont val="Calibri"/>
        <family val="2"/>
      </rPr>
      <t>Useful life</t>
    </r>
    <r>
      <rPr>
        <sz val="10"/>
        <color theme="1"/>
        <rFont val="Calibri"/>
        <family val="2"/>
        <scheme val="minor"/>
      </rPr>
      <t xml:space="preserve"> is the length of time each item is intended to be owned (used) before being replaced.</t>
    </r>
  </si>
  <si>
    <r>
      <rPr>
        <b/>
        <sz val="10"/>
        <color theme="1"/>
        <rFont val="Calibri"/>
        <family val="2"/>
      </rPr>
      <t>Sale Price</t>
    </r>
    <r>
      <rPr>
        <sz val="10"/>
        <color theme="1"/>
        <rFont val="Calibri"/>
        <family val="2"/>
        <scheme val="minor"/>
      </rPr>
      <t xml:space="preserve"> is the expected amount each item can be sold for.</t>
    </r>
  </si>
  <si>
    <r>
      <rPr>
        <b/>
        <sz val="10"/>
        <color theme="1"/>
        <rFont val="Calibri"/>
        <family val="2"/>
      </rPr>
      <t>Percentage Allocation</t>
    </r>
    <r>
      <rPr>
        <sz val="10"/>
        <color theme="1"/>
        <rFont val="Calibri"/>
        <family val="2"/>
        <scheme val="minor"/>
      </rPr>
      <t xml:space="preserve"> (Interment, Ground Maintenance, etc.) is the amount each item is used by each service.  For example Excavators are usually only for interments and </t>
    </r>
  </si>
  <si>
    <t>Ride-on-Mowers are used for ground maintenance.</t>
  </si>
  <si>
    <t>Additional rows can be inserted as required</t>
  </si>
  <si>
    <t>Plant and Equipment</t>
  </si>
  <si>
    <t>Replacement Cost</t>
  </si>
  <si>
    <t>Useful Life
Yrs.</t>
  </si>
  <si>
    <t>Sale Price</t>
  </si>
  <si>
    <t>Excavator</t>
  </si>
  <si>
    <t>Backhoe</t>
  </si>
  <si>
    <t>Tractor</t>
  </si>
  <si>
    <t>Mulcher</t>
  </si>
  <si>
    <t>Quad</t>
  </si>
  <si>
    <t>Casket Trolley</t>
  </si>
  <si>
    <t>Lowering Device</t>
  </si>
  <si>
    <t>Brush Cutter</t>
  </si>
  <si>
    <t>Ride on Mower</t>
  </si>
  <si>
    <t>Mower</t>
  </si>
  <si>
    <t>Water Pump</t>
  </si>
  <si>
    <t>Blower</t>
  </si>
  <si>
    <t>CEO Car</t>
  </si>
  <si>
    <t>Ground Mgr. Car</t>
  </si>
  <si>
    <t>Refrigeration - Cram</t>
  </si>
  <si>
    <t>Cremulator</t>
  </si>
  <si>
    <t>Transfer Van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</si>
</sst>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8" formatCode="&quot;$&quot;#,##0.00;[Red]\-&quot;$&quot;#,##0.00"/>
    <numFmt numFmtId="42" formatCode="_-&quot;$&quot;* #,##0_-;\-&quot;$&quot;* #,##0_-;_-&quot;$&quot;* &quot;-&quot;_-;_-@_-"/>
    <numFmt numFmtId="41" formatCode="_-* #,##0_-;\-* #,##0_-;_-* &quot;-&quot;_-;_-@_-"/>
    <numFmt numFmtId="164" formatCode="dd\ mmm\ yyyy"/>
    <numFmt numFmtId="165" formatCode="[Red]&quot;Error&quot;;[Red]&quot;Error&quot;;&quot;[OK]&quot;"/>
    <numFmt numFmtId="166" formatCode="[Red]&quot;◄ Error&quot;;[Red]&quot;◄ Error&quot;;&quot;◄ [OK]&quot;"/>
    <numFmt numFmtId="167" formatCode="[Red]&quot;▲ Error&quot;;[Red]&quot;▲ Error&quot;;&quot;▲ OK&quot;"/>
    <numFmt numFmtId="168" formatCode="[Red]&quot;▲_x000a_Error&quot;;[Red]&quot;▲_x000a_Error&quot;;&quot;▲_x000a_[OK]&quot;"/>
    <numFmt numFmtId="169" formatCode="[Red]&quot;◄ Required&quot;;[Red]&quot;◄ Required&quot;;&quot;&quot;"/>
    <numFmt numFmtId="170" formatCode="[Red]&quot;Error ►&quot;;[Red]&quot;Error ►&quot;;&quot;[OK] ►&quot;"/>
    <numFmt numFmtId="171" formatCode="#,##0_ ;[Red]\-#,##0;&quot;-&quot;"/>
    <numFmt numFmtId="172" formatCode="&quot;$&quot;#,##0;[Red]\-&quot;$&quot;#,##0;&quot;-&quot;"/>
    <numFmt numFmtId="173" formatCode=";;;"/>
    <numFmt numFmtId="174" formatCode=";;"/>
    <numFmt numFmtId="175" formatCode="_-\ #,##0_-;\-\ #,##0_-;_-\ &quot;-&quot;_-;_-@_-"/>
    <numFmt numFmtId="176" formatCode="&quot;$&quot;#,##0.00;[Red]\-&quot;$&quot;#,##0.00;&quot;-&quot;"/>
    <numFmt numFmtId="177" formatCode="0%;[Red]\-0%;&quot;-&quot;"/>
    <numFmt numFmtId="178" formatCode="\ #,##0_-;\-\ #,##0_-;_-\ &quot;-&quot;_-;_-@_-"/>
    <numFmt numFmtId="179" formatCode="\ #,##0.0_-;\-\ #,##0.0_-;_-\ &quot;-&quot;_-;_-@_-"/>
    <numFmt numFmtId="180" formatCode="#,##0\ &quot;years&quot;"/>
  </numFmts>
  <fonts count="56">
    <font>
      <sz val="8"/>
      <color theme="1"/>
      <name val="Calibri"/>
      <family val="2"/>
      <scheme val="minor"/>
    </font>
    <font>
      <sz val="8"/>
      <color theme="1"/>
      <name val="Calibri"/>
      <family val="2"/>
      <scheme val="minor"/>
    </font>
    <font>
      <b/>
      <sz val="12"/>
      <color theme="3"/>
      <name val="Calibri"/>
      <family val="2"/>
      <scheme val="minor"/>
    </font>
    <font>
      <b/>
      <sz val="10"/>
      <color theme="0"/>
      <name val="Calibri"/>
      <family val="2"/>
      <scheme val="minor"/>
    </font>
    <font>
      <b/>
      <sz val="9"/>
      <color theme="0"/>
      <name val="Calibri"/>
      <family val="2"/>
      <scheme val="minor"/>
    </font>
    <font>
      <b/>
      <sz val="10"/>
      <color theme="3"/>
      <name val="Calibri"/>
      <family val="2"/>
      <scheme val="minor"/>
    </font>
    <font>
      <u/>
      <sz val="9"/>
      <color theme="3"/>
      <name val="Calibri"/>
      <family val="2"/>
      <scheme val="minor"/>
    </font>
    <font>
      <sz val="8"/>
      <color rgb="FF3F3F76"/>
      <name val="Calibri"/>
      <family val="2"/>
      <scheme val="minor"/>
    </font>
    <font>
      <b/>
      <sz val="8"/>
      <color rgb="FFFA7D00"/>
      <name val="Calibri"/>
      <family val="2"/>
      <scheme val="minor"/>
    </font>
    <font>
      <sz val="8"/>
      <color theme="0" tint="-0.499984740745262"/>
      <name val="Calibri"/>
      <family val="2"/>
      <scheme val="minor"/>
    </font>
    <font>
      <b/>
      <sz val="8"/>
      <color theme="6"/>
      <name val="Calibri"/>
      <family val="2"/>
      <scheme val="minor"/>
    </font>
    <font>
      <b/>
      <sz val="8"/>
      <color rgb="FF969696"/>
      <name val="Calibri"/>
      <family val="2"/>
    </font>
    <font>
      <b/>
      <sz val="9"/>
      <color rgb="FF969696"/>
      <name val="Calibri"/>
      <family val="2"/>
    </font>
    <font>
      <sz val="8"/>
      <color theme="0"/>
      <name val="Calibri"/>
      <family val="2"/>
      <scheme val="minor"/>
    </font>
    <font>
      <b/>
      <sz val="9"/>
      <color rgb="FF969696"/>
      <name val="Calibri"/>
      <family val="2"/>
      <scheme val="minor"/>
    </font>
    <font>
      <b/>
      <sz val="8"/>
      <color theme="1"/>
      <name val="Calibri"/>
      <family val="2"/>
      <scheme val="minor"/>
    </font>
    <font>
      <sz val="9"/>
      <color theme="1"/>
      <name val="Calibri"/>
      <family val="2"/>
      <scheme val="minor"/>
    </font>
    <font>
      <b/>
      <sz val="9"/>
      <color theme="1"/>
      <name val="Calibri"/>
      <family val="2"/>
      <scheme val="minor"/>
    </font>
    <font>
      <sz val="7"/>
      <color rgb="FF969696"/>
      <name val="Calibri"/>
      <family val="2"/>
    </font>
    <font>
      <sz val="10"/>
      <color theme="0"/>
      <name val="Calibri"/>
      <family val="2"/>
      <scheme val="minor"/>
    </font>
    <font>
      <sz val="10"/>
      <color theme="1"/>
      <name val="Calibri"/>
      <family val="2"/>
      <scheme val="minor"/>
    </font>
    <font>
      <sz val="10"/>
      <color rgb="FF3F3F76"/>
      <name val="Calibri"/>
      <family val="2"/>
      <scheme val="minor"/>
    </font>
    <font>
      <b/>
      <sz val="10"/>
      <color theme="1"/>
      <name val="Calibri"/>
      <family val="2"/>
      <scheme val="minor"/>
    </font>
    <font>
      <sz val="10"/>
      <name val="Calibri"/>
      <family val="2"/>
      <scheme val="minor"/>
    </font>
    <font>
      <b/>
      <sz val="8"/>
      <name val="Arial"/>
      <family val="2"/>
    </font>
    <font>
      <sz val="8"/>
      <name val="Calibri"/>
      <family val="2"/>
      <scheme val="minor"/>
    </font>
    <font>
      <sz val="9"/>
      <name val="Calibri"/>
      <family val="2"/>
      <scheme val="minor"/>
    </font>
    <font>
      <b/>
      <sz val="10"/>
      <name val="Calibri"/>
      <family val="2"/>
      <scheme val="minor"/>
    </font>
    <font>
      <sz val="10"/>
      <color rgb="FF5181BD"/>
      <name val="Calibri"/>
      <family val="2"/>
      <scheme val="minor"/>
    </font>
    <font>
      <sz val="11"/>
      <color rgb="FF5181BD"/>
      <name val="Calibri"/>
      <family val="2"/>
      <scheme val="minor"/>
    </font>
    <font>
      <b/>
      <sz val="10"/>
      <color theme="1"/>
      <name val="Calibri"/>
      <family val="2"/>
    </font>
    <font>
      <b/>
      <u/>
      <sz val="9"/>
      <name val="Calibri"/>
      <family val="2"/>
      <scheme val="minor"/>
    </font>
    <font>
      <b/>
      <sz val="11"/>
      <name val="Calibri"/>
      <family val="2"/>
      <scheme val="minor"/>
    </font>
    <font>
      <u/>
      <sz val="11"/>
      <color theme="3"/>
      <name val="Calibri"/>
      <family val="2"/>
      <scheme val="minor"/>
    </font>
    <font>
      <sz val="10"/>
      <color theme="3"/>
      <name val="Calibri"/>
      <family val="2"/>
      <scheme val="minor"/>
    </font>
    <font>
      <u/>
      <sz val="10"/>
      <color theme="1"/>
      <name val="Calibri"/>
      <family val="2"/>
      <scheme val="minor"/>
    </font>
    <font>
      <b/>
      <sz val="10"/>
      <name val="Calibri"/>
      <family val="2"/>
    </font>
    <font>
      <u/>
      <sz val="10"/>
      <color theme="3"/>
      <name val="Calibri"/>
      <family val="2"/>
      <scheme val="minor"/>
    </font>
    <font>
      <sz val="9"/>
      <color indexed="81"/>
      <name val="Calibri"/>
      <family val="2"/>
      <scheme val="minor"/>
    </font>
    <font>
      <b/>
      <sz val="9"/>
      <color indexed="81"/>
      <name val="Calibri"/>
      <family val="2"/>
      <scheme val="minor"/>
    </font>
    <font>
      <b/>
      <sz val="10"/>
      <color rgb="FF5181BD"/>
      <name val="Calibri"/>
      <family val="2"/>
      <scheme val="minor"/>
    </font>
    <font>
      <sz val="10"/>
      <color rgb="FFFF0000"/>
      <name val="Calibri"/>
      <family val="2"/>
      <scheme val="minor"/>
    </font>
    <font>
      <sz val="10"/>
      <color rgb="FFFA7D00"/>
      <name val="Calibri"/>
      <family val="2"/>
      <scheme val="minor"/>
    </font>
    <font>
      <sz val="10"/>
      <color rgb="FFC00000"/>
      <name val="Wingdings 3"/>
      <family val="1"/>
      <charset val="2"/>
    </font>
    <font>
      <sz val="10"/>
      <name val="Calibri"/>
      <family val="2"/>
    </font>
    <font>
      <b/>
      <sz val="20"/>
      <color rgb="FFED1A3B"/>
      <name val="Times New Roman"/>
      <family val="1"/>
    </font>
    <font>
      <sz val="8"/>
      <color rgb="FF404040"/>
      <name val="Trebuchet MS"/>
      <family val="2"/>
    </font>
    <font>
      <sz val="8"/>
      <color rgb="FFFF0000"/>
      <name val="Calibri"/>
      <family val="2"/>
      <scheme val="minor"/>
    </font>
    <font>
      <sz val="10"/>
      <color theme="1"/>
      <name val="Calibri"/>
      <family val="2"/>
    </font>
    <font>
      <i/>
      <sz val="10"/>
      <color theme="1"/>
      <name val="Calibri"/>
      <family val="2"/>
    </font>
    <font>
      <i/>
      <sz val="10"/>
      <color theme="1"/>
      <name val="Calibri"/>
      <family val="2"/>
      <scheme val="minor"/>
    </font>
    <font>
      <sz val="10"/>
      <color rgb="FF969696"/>
      <name val="Calibri"/>
      <family val="2"/>
    </font>
    <font>
      <b/>
      <sz val="12"/>
      <color rgb="FFFF0000"/>
      <name val="Calibri"/>
      <family val="2"/>
    </font>
    <font>
      <b/>
      <sz val="12"/>
      <color rgb="FF5181BD"/>
      <name val="Calibri"/>
      <family val="2"/>
      <scheme val="minor"/>
    </font>
    <font>
      <b/>
      <sz val="12"/>
      <color rgb="FF5181BD"/>
      <name val="Calibri"/>
      <family val="2"/>
    </font>
    <font>
      <i/>
      <sz val="10"/>
      <name val="Calibri"/>
      <family val="2"/>
      <scheme val="minor"/>
    </font>
  </fonts>
  <fills count="23">
    <fill>
      <patternFill patternType="none"/>
    </fill>
    <fill>
      <patternFill patternType="gray125"/>
    </fill>
    <fill>
      <patternFill patternType="solid">
        <fgColor rgb="FFFFCC99"/>
      </patternFill>
    </fill>
    <fill>
      <patternFill patternType="solid">
        <fgColor rgb="FFF2F2F2"/>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69696"/>
        <bgColor indexed="64"/>
      </patternFill>
    </fill>
    <fill>
      <patternFill patternType="solid">
        <fgColor rgb="FFFEFFCC"/>
        <bgColor indexed="64"/>
      </patternFill>
    </fill>
    <fill>
      <patternFill patternType="solid">
        <fgColor rgb="FFFFCD99"/>
        <bgColor indexed="64"/>
      </patternFill>
    </fill>
    <fill>
      <patternFill patternType="solid">
        <fgColor rgb="FFC1504D"/>
        <bgColor indexed="64"/>
      </patternFill>
    </fill>
    <fill>
      <patternFill patternType="solid">
        <fgColor rgb="FFC0BFBF"/>
        <bgColor indexed="64"/>
      </patternFill>
    </fill>
    <fill>
      <patternFill patternType="solid">
        <fgColor rgb="FFF3F2F2"/>
        <bgColor indexed="64"/>
      </patternFill>
    </fill>
    <fill>
      <patternFill patternType="solid">
        <fgColor rgb="FFF89646"/>
        <bgColor indexed="64"/>
      </patternFill>
    </fill>
    <fill>
      <patternFill patternType="solid">
        <fgColor rgb="FF5181BD"/>
        <bgColor indexed="64"/>
      </patternFill>
    </fill>
    <fill>
      <patternFill patternType="solid">
        <fgColor rgb="FF9CBB59"/>
        <bgColor indexed="64"/>
      </patternFill>
    </fill>
  </fills>
  <borders count="52">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right/>
      <top style="thin">
        <color theme="4"/>
      </top>
      <bottom style="double">
        <color theme="4"/>
      </bottom>
      <diagonal/>
    </border>
    <border>
      <left style="thin">
        <color theme="0" tint="-0.14996795556505021"/>
      </left>
      <right style="thin">
        <color theme="0" tint="-0.14996795556505021"/>
      </right>
      <top/>
      <bottom style="thin">
        <color theme="4"/>
      </bottom>
      <diagonal/>
    </border>
    <border>
      <left style="thin">
        <color theme="0" tint="-0.14996795556505021"/>
      </left>
      <right style="thin">
        <color theme="0" tint="-0.14996795556505021"/>
      </right>
      <top/>
      <bottom/>
      <diagonal/>
    </border>
    <border>
      <left style="thin">
        <color theme="0" tint="-0.24994659260841701"/>
      </left>
      <right style="thin">
        <color theme="0"/>
      </right>
      <top style="thin">
        <color theme="0" tint="-0.24994659260841701"/>
      </top>
      <bottom/>
      <diagonal/>
    </border>
    <border>
      <left style="thin">
        <color theme="0"/>
      </left>
      <right style="thin">
        <color theme="0"/>
      </right>
      <top style="thin">
        <color theme="0" tint="-0.24994659260841701"/>
      </top>
      <bottom/>
      <diagonal/>
    </border>
    <border>
      <left style="thin">
        <color theme="0"/>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14996795556505021"/>
      </right>
      <top/>
      <bottom/>
      <diagonal/>
    </border>
    <border>
      <left style="thin">
        <color theme="0" tint="-0.14996795556505021"/>
      </left>
      <right style="thin">
        <color theme="0" tint="-0.24994659260841701"/>
      </right>
      <top/>
      <bottom/>
      <diagonal/>
    </border>
    <border>
      <left style="thin">
        <color theme="0" tint="-0.24994659260841701"/>
      </left>
      <right style="thin">
        <color theme="0" tint="-0.14996795556505021"/>
      </right>
      <top/>
      <bottom style="thin">
        <color theme="4"/>
      </bottom>
      <diagonal/>
    </border>
    <border>
      <left style="thin">
        <color theme="0" tint="-0.14996795556505021"/>
      </left>
      <right style="thin">
        <color theme="0" tint="-0.24994659260841701"/>
      </right>
      <top/>
      <bottom style="thin">
        <color theme="4"/>
      </bottom>
      <diagonal/>
    </border>
    <border>
      <left style="thin">
        <color theme="0" tint="-0.24994659260841701"/>
      </left>
      <right style="thin">
        <color theme="0"/>
      </right>
      <top style="thin">
        <color theme="4"/>
      </top>
      <bottom style="thin">
        <color theme="0" tint="-0.24994659260841701"/>
      </bottom>
      <diagonal/>
    </border>
    <border>
      <left style="thin">
        <color theme="0"/>
      </left>
      <right style="thin">
        <color theme="0"/>
      </right>
      <top style="thin">
        <color theme="4"/>
      </top>
      <bottom style="thin">
        <color theme="0" tint="-0.24994659260841701"/>
      </bottom>
      <diagonal/>
    </border>
    <border>
      <left style="thin">
        <color theme="0"/>
      </left>
      <right style="thin">
        <color theme="0" tint="-0.24994659260841701"/>
      </right>
      <top style="thin">
        <color theme="4"/>
      </top>
      <bottom style="thin">
        <color theme="0" tint="-0.24994659260841701"/>
      </bottom>
      <diagonal/>
    </border>
    <border>
      <left style="thin">
        <color theme="0" tint="-0.14996795556505021"/>
      </left>
      <right style="thin">
        <color theme="0" tint="-0.14996795556505021"/>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bottom style="thin">
        <color indexed="64"/>
      </bottom>
      <diagonal/>
    </border>
    <border>
      <left/>
      <right/>
      <top style="double">
        <color rgb="FFF89646"/>
      </top>
      <bottom style="thin">
        <color rgb="FFF89646"/>
      </bottom>
      <diagonal/>
    </border>
    <border>
      <left/>
      <right style="thin">
        <color rgb="FFF3F2F2"/>
      </right>
      <top/>
      <bottom/>
      <diagonal/>
    </border>
    <border>
      <left style="thin">
        <color rgb="FFF3F2F2"/>
      </left>
      <right style="thin">
        <color rgb="FFF3F2F2"/>
      </right>
      <top/>
      <bottom/>
      <diagonal/>
    </border>
    <border>
      <left style="thin">
        <color rgb="FFF3F2F2"/>
      </left>
      <right/>
      <top/>
      <bottom/>
      <diagonal/>
    </border>
    <border>
      <left/>
      <right style="thin">
        <color rgb="FFF3F2F2"/>
      </right>
      <top style="double">
        <color rgb="FFF89646"/>
      </top>
      <bottom/>
      <diagonal/>
    </border>
    <border>
      <left style="thin">
        <color rgb="FFF3F2F2"/>
      </left>
      <right style="thin">
        <color rgb="FFF3F2F2"/>
      </right>
      <top style="double">
        <color rgb="FFF89646"/>
      </top>
      <bottom/>
      <diagonal/>
    </border>
    <border>
      <left style="thin">
        <color rgb="FFF3F2F2"/>
      </left>
      <right/>
      <top style="double">
        <color rgb="FFF89646"/>
      </top>
      <bottom/>
      <diagonal/>
    </border>
    <border>
      <left style="thin">
        <color rgb="FFC0BFBF"/>
      </left>
      <right style="thin">
        <color rgb="FFC0BFBF"/>
      </right>
      <top style="thin">
        <color rgb="FFC0BFBF"/>
      </top>
      <bottom style="thin">
        <color rgb="FFC0BFBF"/>
      </bottom>
      <diagonal/>
    </border>
    <border>
      <left/>
      <right/>
      <top style="thin">
        <color rgb="FFF89646"/>
      </top>
      <bottom style="double">
        <color rgb="FFF89646"/>
      </bottom>
      <diagonal/>
    </border>
    <border>
      <left style="thin">
        <color rgb="FFF3F2F2"/>
      </left>
      <right style="thin">
        <color rgb="FFF3F2F2"/>
      </right>
      <top style="thin">
        <color rgb="FFF89646"/>
      </top>
      <bottom style="double">
        <color rgb="FFF89646"/>
      </bottom>
      <diagonal/>
    </border>
    <border>
      <left/>
      <right/>
      <top style="thin">
        <color rgb="FFC0BFBF"/>
      </top>
      <bottom style="thin">
        <color rgb="FFC0BFBF"/>
      </bottom>
      <diagonal/>
    </border>
    <border>
      <left style="thin">
        <color rgb="FFF3F2F2"/>
      </left>
      <right style="thin">
        <color rgb="FFF3F2F2"/>
      </right>
      <top style="thin">
        <color indexed="64"/>
      </top>
      <bottom/>
      <diagonal/>
    </border>
    <border>
      <left style="thin">
        <color rgb="FFC0BFBF"/>
      </left>
      <right style="thin">
        <color rgb="FFC0BFBF"/>
      </right>
      <top/>
      <bottom style="thin">
        <color rgb="FFC0BFBF"/>
      </bottom>
      <diagonal/>
    </border>
    <border>
      <left style="thin">
        <color rgb="FFC0BFBF"/>
      </left>
      <right style="thin">
        <color rgb="FFC0BFBF"/>
      </right>
      <top style="thin">
        <color rgb="FFC0BFBF"/>
      </top>
      <bottom/>
      <diagonal/>
    </border>
    <border>
      <left style="thin">
        <color rgb="FFC0BFBF"/>
      </left>
      <right style="thin">
        <color rgb="FFC0BFBF"/>
      </right>
      <top/>
      <bottom/>
      <diagonal/>
    </border>
    <border>
      <left/>
      <right/>
      <top style="thick">
        <color theme="4" tint="0.499984740745262"/>
      </top>
      <bottom/>
      <diagonal/>
    </border>
    <border>
      <left/>
      <right/>
      <top/>
      <bottom style="thick">
        <color rgb="FFA8BFDE"/>
      </bottom>
      <diagonal/>
    </border>
    <border>
      <left style="thin">
        <color indexed="64"/>
      </left>
      <right style="thin">
        <color rgb="FFC0BFBF"/>
      </right>
      <top style="thin">
        <color rgb="FFC0BFBF"/>
      </top>
      <bottom style="thin">
        <color indexed="64"/>
      </bottom>
      <diagonal/>
    </border>
    <border>
      <left style="thin">
        <color rgb="FFC0BFBF"/>
      </left>
      <right style="thin">
        <color rgb="FFC0BFBF"/>
      </right>
      <top style="thin">
        <color rgb="FFC0BFBF"/>
      </top>
      <bottom style="thin">
        <color indexed="64"/>
      </bottom>
      <diagonal/>
    </border>
    <border>
      <left style="thin">
        <color rgb="FFC0BFBF"/>
      </left>
      <right style="thin">
        <color indexed="64"/>
      </right>
      <top style="thin">
        <color rgb="FFC0BFBF"/>
      </top>
      <bottom style="thin">
        <color indexed="64"/>
      </bottom>
      <diagonal/>
    </border>
    <border>
      <left/>
      <right style="thin">
        <color rgb="FFF3F2F2"/>
      </right>
      <top style="thin">
        <color rgb="FFF89646"/>
      </top>
      <bottom style="double">
        <color rgb="FFF89646"/>
      </bottom>
      <diagonal/>
    </border>
    <border>
      <left style="thin">
        <color rgb="FFF3F2F2"/>
      </left>
      <right/>
      <top style="thin">
        <color rgb="FFF89646"/>
      </top>
      <bottom style="double">
        <color rgb="FFF89646"/>
      </bottom>
      <diagonal/>
    </border>
  </borders>
  <cellStyleXfs count="30">
    <xf numFmtId="0" fontId="0" fillId="0" borderId="0"/>
    <xf numFmtId="0" fontId="2" fillId="0" borderId="1" applyNumberFormat="0" applyFill="0" applyAlignment="0" applyProtection="0"/>
    <xf numFmtId="0" fontId="5" fillId="0" borderId="0" applyNumberFormat="0" applyFill="0" applyBorder="0" applyAlignment="0" applyProtection="0"/>
    <xf numFmtId="0" fontId="7" fillId="2" borderId="2" applyNumberFormat="0" applyAlignment="0">
      <protection locked="0"/>
    </xf>
    <xf numFmtId="0" fontId="8" fillId="3" borderId="2" applyNumberFormat="0" applyAlignment="0"/>
    <xf numFmtId="0" fontId="9" fillId="9" borderId="3" applyNumberFormat="0" applyAlignment="0">
      <protection locked="0"/>
    </xf>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6" fillId="0" borderId="0" applyNumberFormat="0" applyFill="0" applyBorder="0" applyAlignment="0" applyProtection="0"/>
    <xf numFmtId="0" fontId="21" fillId="8" borderId="2" applyNumberFormat="0" applyAlignment="0">
      <protection locked="0"/>
    </xf>
    <xf numFmtId="0" fontId="10" fillId="10" borderId="4" applyNumberFormat="0" applyAlignment="0"/>
    <xf numFmtId="0" fontId="1" fillId="0" borderId="0" applyNumberFormat="0" applyFill="0" applyAlignment="0" applyProtection="0"/>
    <xf numFmtId="165" fontId="12" fillId="0" borderId="0">
      <alignment horizontal="left" vertical="center"/>
    </xf>
    <xf numFmtId="166" fontId="18" fillId="0" borderId="0" applyFill="0" applyBorder="0">
      <alignment horizontal="left" vertical="center"/>
    </xf>
    <xf numFmtId="167" fontId="12" fillId="0" borderId="0">
      <alignment horizontal="center" vertical="top" wrapText="1"/>
    </xf>
    <xf numFmtId="168" fontId="12" fillId="0" borderId="0">
      <alignment horizontal="center" vertical="top" wrapText="1"/>
    </xf>
    <xf numFmtId="0" fontId="13" fillId="0" borderId="0"/>
    <xf numFmtId="169" fontId="11" fillId="0" borderId="0">
      <alignment horizontal="left" vertical="center"/>
    </xf>
    <xf numFmtId="170" fontId="14" fillId="0" borderId="0">
      <alignment horizontal="right" vertical="center"/>
    </xf>
    <xf numFmtId="171" fontId="1" fillId="0" borderId="0" applyFont="0" applyFill="0" applyBorder="0" applyAlignment="0" applyProtection="0"/>
    <xf numFmtId="0" fontId="25" fillId="0" borderId="0" applyNumberFormat="0" applyFill="0" applyBorder="0" applyAlignment="0" applyProtection="0"/>
    <xf numFmtId="0" fontId="17" fillId="0" borderId="5" applyNumberFormat="0" applyFill="0" applyAlignment="0" applyProtection="0"/>
    <xf numFmtId="42"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21" fillId="16" borderId="0" applyNumberFormat="0" applyBorder="0" applyAlignment="0">
      <alignment horizontal="center" vertical="center" wrapText="1"/>
      <protection locked="0"/>
    </xf>
    <xf numFmtId="172" fontId="27" fillId="19" borderId="30" applyFill="0" applyBorder="0" applyProtection="0">
      <alignment horizontal="center" vertical="center"/>
    </xf>
    <xf numFmtId="0" fontId="2" fillId="0" borderId="46"/>
  </cellStyleXfs>
  <cellXfs count="405">
    <xf numFmtId="0" fontId="0" fillId="0" borderId="0" xfId="0"/>
    <xf numFmtId="0" fontId="1" fillId="0" borderId="0" xfId="0" applyFont="1"/>
    <xf numFmtId="0" fontId="5" fillId="0" borderId="0" xfId="2"/>
    <xf numFmtId="0" fontId="6" fillId="0" borderId="0" xfId="10"/>
    <xf numFmtId="0" fontId="2" fillId="0" borderId="1" xfId="1"/>
    <xf numFmtId="42" fontId="0" fillId="0" borderId="0" xfId="24" applyFont="1" applyBorder="1"/>
    <xf numFmtId="173" fontId="0" fillId="0" borderId="0" xfId="0" applyNumberFormat="1"/>
    <xf numFmtId="42" fontId="17" fillId="0" borderId="0" xfId="24" applyFont="1" applyBorder="1"/>
    <xf numFmtId="0" fontId="20" fillId="0" borderId="0" xfId="0" applyFont="1" applyAlignment="1">
      <alignment horizontal="left"/>
    </xf>
    <xf numFmtId="49" fontId="20" fillId="0" borderId="0" xfId="0" applyNumberFormat="1" applyFont="1" applyAlignment="1">
      <alignment horizontal="left"/>
    </xf>
    <xf numFmtId="0" fontId="20" fillId="0" borderId="0" xfId="0" applyFont="1" applyAlignment="1">
      <alignment horizontal="right"/>
    </xf>
    <xf numFmtId="41" fontId="0" fillId="0" borderId="0" xfId="25" applyFont="1" applyBorder="1"/>
    <xf numFmtId="9" fontId="0" fillId="0" borderId="0" xfId="26" applyFont="1" applyBorder="1"/>
    <xf numFmtId="0" fontId="6" fillId="0" borderId="0" xfId="10" applyBorder="1"/>
    <xf numFmtId="0" fontId="20" fillId="0" borderId="7" xfId="0" applyFont="1" applyBorder="1" applyAlignment="1">
      <alignment horizontal="right"/>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49" fontId="20" fillId="0" borderId="26" xfId="0" applyNumberFormat="1" applyFont="1" applyBorder="1" applyAlignment="1">
      <alignment horizontal="left"/>
    </xf>
    <xf numFmtId="0" fontId="20" fillId="0" borderId="26" xfId="0" applyFont="1" applyBorder="1" applyAlignment="1">
      <alignment horizontal="right"/>
    </xf>
    <xf numFmtId="0" fontId="0" fillId="0" borderId="26" xfId="0" applyBorder="1"/>
    <xf numFmtId="0" fontId="0" fillId="0" borderId="27" xfId="0" applyBorder="1"/>
    <xf numFmtId="174" fontId="15" fillId="0" borderId="0" xfId="0" applyNumberFormat="1" applyFont="1" applyAlignment="1">
      <alignment horizontal="center" wrapText="1"/>
    </xf>
    <xf numFmtId="9" fontId="20" fillId="0" borderId="0" xfId="26" applyFont="1" applyBorder="1" applyAlignment="1">
      <alignment horizontal="center" vertical="center"/>
    </xf>
    <xf numFmtId="0" fontId="0" fillId="0" borderId="0" xfId="0" applyAlignment="1">
      <alignment horizontal="center" vertical="center"/>
    </xf>
    <xf numFmtId="42" fontId="0" fillId="0" borderId="0" xfId="24" applyFont="1" applyFill="1" applyBorder="1"/>
    <xf numFmtId="0" fontId="9" fillId="0" borderId="0" xfId="5" applyFill="1" applyBorder="1" applyAlignment="1">
      <alignment vertical="center" wrapText="1"/>
      <protection locked="0"/>
    </xf>
    <xf numFmtId="10" fontId="0" fillId="0" borderId="0" xfId="0" applyNumberFormat="1"/>
    <xf numFmtId="8" fontId="0" fillId="0" borderId="0" xfId="0" applyNumberFormat="1"/>
    <xf numFmtId="0" fontId="20" fillId="0" borderId="21" xfId="0" applyFont="1" applyBorder="1" applyAlignment="1">
      <alignment horizontal="left"/>
    </xf>
    <xf numFmtId="0" fontId="20" fillId="0" borderId="21" xfId="0" applyFont="1" applyBorder="1"/>
    <xf numFmtId="166" fontId="18" fillId="0" borderId="0" xfId="15" applyAlignment="1">
      <alignment horizontal="center" vertical="center"/>
    </xf>
    <xf numFmtId="166" fontId="18" fillId="0" borderId="0" xfId="15" applyAlignment="1">
      <alignment horizontal="left" vertical="center" indent="1"/>
    </xf>
    <xf numFmtId="41" fontId="19" fillId="17" borderId="28" xfId="22" applyNumberFormat="1" applyFont="1" applyFill="1" applyBorder="1" applyAlignment="1">
      <alignment horizontal="center" vertical="center" wrapText="1"/>
    </xf>
    <xf numFmtId="0" fontId="19" fillId="17" borderId="8" xfId="22" applyFont="1" applyFill="1" applyBorder="1" applyAlignment="1">
      <alignment horizontal="left" vertical="center" wrapText="1"/>
    </xf>
    <xf numFmtId="0" fontId="19" fillId="17" borderId="9" xfId="22" applyFont="1" applyFill="1" applyBorder="1" applyAlignment="1">
      <alignment horizontal="center" vertical="center" wrapText="1"/>
    </xf>
    <xf numFmtId="0" fontId="19" fillId="17" borderId="10" xfId="22" applyFont="1" applyFill="1" applyBorder="1" applyAlignment="1">
      <alignment horizontal="center" vertical="center" wrapText="1"/>
    </xf>
    <xf numFmtId="0" fontId="19" fillId="18" borderId="11" xfId="22" applyFont="1" applyFill="1" applyBorder="1" applyAlignment="1">
      <alignment horizontal="center" vertical="center" wrapText="1"/>
    </xf>
    <xf numFmtId="0" fontId="23" fillId="0" borderId="12" xfId="22" applyFont="1" applyBorder="1" applyAlignment="1">
      <alignment horizontal="left"/>
    </xf>
    <xf numFmtId="0" fontId="23" fillId="19" borderId="7" xfId="22" applyFont="1" applyFill="1" applyBorder="1"/>
    <xf numFmtId="0" fontId="23" fillId="0" borderId="7" xfId="22" applyFont="1" applyBorder="1"/>
    <xf numFmtId="0" fontId="23" fillId="0" borderId="13" xfId="22" applyFont="1" applyBorder="1"/>
    <xf numFmtId="172" fontId="23" fillId="19" borderId="7" xfId="22" applyNumberFormat="1" applyFont="1" applyFill="1" applyBorder="1"/>
    <xf numFmtId="172" fontId="23" fillId="0" borderId="7" xfId="22" applyNumberFormat="1" applyFont="1" applyFill="1" applyBorder="1"/>
    <xf numFmtId="172" fontId="23" fillId="0" borderId="13" xfId="22" applyNumberFormat="1" applyFont="1" applyFill="1" applyBorder="1"/>
    <xf numFmtId="0" fontId="23" fillId="0" borderId="12" xfId="22" applyFont="1" applyFill="1" applyBorder="1" applyAlignment="1">
      <alignment horizontal="left"/>
    </xf>
    <xf numFmtId="172" fontId="23" fillId="0" borderId="7" xfId="22" applyNumberFormat="1" applyFont="1" applyBorder="1"/>
    <xf numFmtId="172" fontId="23" fillId="0" borderId="13" xfId="22" applyNumberFormat="1" applyFont="1" applyBorder="1"/>
    <xf numFmtId="0" fontId="23" fillId="0" borderId="14" xfId="22" applyFont="1" applyBorder="1"/>
    <xf numFmtId="172" fontId="23" fillId="19" borderId="6" xfId="22" applyNumberFormat="1" applyFont="1" applyFill="1" applyBorder="1"/>
    <xf numFmtId="172" fontId="23" fillId="0" borderId="6" xfId="22" applyNumberFormat="1" applyFont="1" applyBorder="1"/>
    <xf numFmtId="172" fontId="23" fillId="0" borderId="15" xfId="22" applyNumberFormat="1" applyFont="1" applyBorder="1"/>
    <xf numFmtId="0" fontId="23" fillId="18" borderId="16" xfId="22" applyFont="1" applyFill="1" applyBorder="1" applyAlignment="1">
      <alignment horizontal="left"/>
    </xf>
    <xf numFmtId="172" fontId="23" fillId="18" borderId="17" xfId="22" applyNumberFormat="1" applyFont="1" applyFill="1" applyBorder="1"/>
    <xf numFmtId="172" fontId="23" fillId="18" borderId="18" xfId="22" applyNumberFormat="1" applyFont="1" applyFill="1" applyBorder="1"/>
    <xf numFmtId="0" fontId="26" fillId="0" borderId="0" xfId="22" applyFont="1" applyBorder="1"/>
    <xf numFmtId="0" fontId="23" fillId="0" borderId="0" xfId="22" applyFont="1" applyBorder="1"/>
    <xf numFmtId="0" fontId="20" fillId="0" borderId="0" xfId="0" applyFont="1"/>
    <xf numFmtId="0" fontId="20" fillId="20" borderId="32" xfId="0" applyFont="1" applyFill="1" applyBorder="1" applyAlignment="1">
      <alignment horizontal="center" vertical="center" wrapText="1"/>
    </xf>
    <xf numFmtId="0" fontId="20" fillId="20" borderId="33" xfId="0" applyFont="1" applyFill="1" applyBorder="1" applyAlignment="1">
      <alignment horizontal="center" vertical="center" wrapText="1"/>
    </xf>
    <xf numFmtId="0" fontId="21" fillId="16" borderId="31" xfId="27" applyNumberFormat="1" applyBorder="1" applyAlignment="1">
      <protection locked="0"/>
    </xf>
    <xf numFmtId="172" fontId="21" fillId="16" borderId="32" xfId="27" applyNumberFormat="1" applyBorder="1" applyAlignment="1">
      <alignment horizontal="center"/>
      <protection locked="0"/>
    </xf>
    <xf numFmtId="166" fontId="18" fillId="0" borderId="33" xfId="15" applyBorder="1" applyAlignment="1">
      <alignment horizontal="center" vertical="center"/>
    </xf>
    <xf numFmtId="166" fontId="18" fillId="19" borderId="36" xfId="15" applyFill="1" applyBorder="1" applyAlignment="1">
      <alignment horizontal="center" vertical="center"/>
    </xf>
    <xf numFmtId="0" fontId="27" fillId="19" borderId="34" xfId="0" applyFont="1" applyFill="1" applyBorder="1"/>
    <xf numFmtId="0" fontId="27" fillId="19" borderId="36" xfId="0" applyFont="1" applyFill="1" applyBorder="1"/>
    <xf numFmtId="172" fontId="27" fillId="19" borderId="35" xfId="0" applyNumberFormat="1" applyFont="1" applyFill="1" applyBorder="1" applyAlignment="1">
      <alignment horizontal="center" vertical="center"/>
    </xf>
    <xf numFmtId="172" fontId="27" fillId="19" borderId="35" xfId="0" applyNumberFormat="1" applyFont="1" applyFill="1" applyBorder="1" applyAlignment="1">
      <alignment horizontal="center"/>
    </xf>
    <xf numFmtId="172" fontId="21" fillId="16" borderId="32" xfId="27" applyNumberFormat="1" applyBorder="1" applyAlignment="1">
      <alignment horizontal="center" vertical="center"/>
      <protection locked="0"/>
    </xf>
    <xf numFmtId="172" fontId="20" fillId="0" borderId="32" xfId="0" applyNumberFormat="1" applyFont="1" applyBorder="1" applyAlignment="1">
      <alignment horizontal="center" vertical="center"/>
    </xf>
    <xf numFmtId="166" fontId="18" fillId="0" borderId="32" xfId="15" applyBorder="1" applyAlignment="1">
      <alignment horizontal="center" vertical="center"/>
    </xf>
    <xf numFmtId="172" fontId="20" fillId="0" borderId="32" xfId="0" applyNumberFormat="1" applyFont="1" applyBorder="1" applyAlignment="1">
      <alignment horizontal="center"/>
    </xf>
    <xf numFmtId="166" fontId="18" fillId="19" borderId="35" xfId="0" applyNumberFormat="1" applyFont="1" applyFill="1" applyBorder="1" applyAlignment="1">
      <alignment horizontal="center" vertical="center"/>
    </xf>
    <xf numFmtId="172" fontId="23" fillId="20" borderId="32" xfId="22" applyNumberFormat="1" applyFont="1" applyFill="1" applyBorder="1" applyAlignment="1">
      <alignment horizontal="center" vertical="center" wrapText="1"/>
    </xf>
    <xf numFmtId="0" fontId="23" fillId="20" borderId="33" xfId="22" applyFont="1" applyFill="1" applyBorder="1" applyAlignment="1">
      <alignment horizontal="center" vertical="center" wrapText="1"/>
    </xf>
    <xf numFmtId="0" fontId="23" fillId="20" borderId="31" xfId="22" applyFont="1" applyFill="1" applyBorder="1"/>
    <xf numFmtId="172" fontId="23" fillId="20" borderId="32" xfId="22" applyNumberFormat="1" applyFont="1" applyFill="1" applyBorder="1" applyAlignment="1">
      <alignment horizontal="center"/>
    </xf>
    <xf numFmtId="0" fontId="23" fillId="20" borderId="33" xfId="22" applyFont="1" applyFill="1" applyBorder="1"/>
    <xf numFmtId="0" fontId="23" fillId="0" borderId="31" xfId="22" applyFont="1" applyBorder="1"/>
    <xf numFmtId="172" fontId="23" fillId="0" borderId="32" xfId="22" applyNumberFormat="1" applyFont="1" applyBorder="1" applyAlignment="1">
      <alignment horizontal="center"/>
    </xf>
    <xf numFmtId="0" fontId="23" fillId="15" borderId="33" xfId="22" applyFont="1" applyFill="1" applyBorder="1" applyProtection="1">
      <protection locked="0"/>
    </xf>
    <xf numFmtId="172" fontId="23" fillId="20" borderId="32" xfId="22" applyNumberFormat="1" applyFont="1" applyFill="1" applyBorder="1" applyAlignment="1">
      <alignment horizontal="center" vertical="center"/>
    </xf>
    <xf numFmtId="172" fontId="23" fillId="0" borderId="32" xfId="22" applyNumberFormat="1" applyFont="1" applyBorder="1" applyAlignment="1">
      <alignment horizontal="center" vertical="center"/>
    </xf>
    <xf numFmtId="169" fontId="23" fillId="0" borderId="31" xfId="22" applyNumberFormat="1" applyFont="1" applyBorder="1" applyAlignment="1">
      <alignment horizontal="left" vertical="center"/>
    </xf>
    <xf numFmtId="169" fontId="23" fillId="15" borderId="33" xfId="22" applyNumberFormat="1" applyFont="1" applyFill="1" applyBorder="1" applyAlignment="1">
      <alignment horizontal="left" vertical="center"/>
    </xf>
    <xf numFmtId="169" fontId="25" fillId="15" borderId="33" xfId="22" applyNumberFormat="1" applyFill="1" applyBorder="1" applyAlignment="1">
      <alignment horizontal="left" vertical="center"/>
    </xf>
    <xf numFmtId="169" fontId="27" fillId="19" borderId="34" xfId="0" applyNumberFormat="1" applyFont="1" applyFill="1" applyBorder="1" applyAlignment="1">
      <alignment horizontal="left" vertical="center"/>
    </xf>
    <xf numFmtId="169" fontId="27" fillId="19" borderId="36" xfId="0" applyNumberFormat="1" applyFont="1" applyFill="1" applyBorder="1" applyAlignment="1">
      <alignment horizontal="left" vertical="center"/>
    </xf>
    <xf numFmtId="169" fontId="23" fillId="20" borderId="31" xfId="22" applyNumberFormat="1" applyFont="1" applyFill="1" applyBorder="1" applyAlignment="1">
      <alignment horizontal="left" vertical="center"/>
    </xf>
    <xf numFmtId="169" fontId="23" fillId="20" borderId="33" xfId="22" applyNumberFormat="1" applyFont="1" applyFill="1" applyBorder="1" applyAlignment="1">
      <alignment horizontal="left" vertical="center"/>
    </xf>
    <xf numFmtId="0" fontId="20" fillId="20" borderId="31" xfId="0" applyFont="1" applyFill="1" applyBorder="1" applyAlignment="1">
      <alignment horizontal="left" vertical="center" wrapText="1"/>
    </xf>
    <xf numFmtId="0" fontId="23" fillId="20" borderId="31" xfId="22" applyFont="1" applyFill="1" applyBorder="1" applyAlignment="1">
      <alignment horizontal="left" vertical="center" wrapText="1"/>
    </xf>
    <xf numFmtId="0" fontId="23" fillId="0" borderId="32" xfId="22" applyFont="1" applyBorder="1"/>
    <xf numFmtId="0" fontId="23" fillId="0" borderId="0" xfId="22" applyFont="1"/>
    <xf numFmtId="0" fontId="20" fillId="15" borderId="33" xfId="0" applyFont="1" applyFill="1" applyBorder="1" applyProtection="1">
      <protection locked="0"/>
    </xf>
    <xf numFmtId="0" fontId="0" fillId="15" borderId="33" xfId="0" applyFill="1" applyBorder="1" applyProtection="1">
      <protection locked="0"/>
    </xf>
    <xf numFmtId="177" fontId="21" fillId="16" borderId="32" xfId="27" applyNumberFormat="1" applyBorder="1" applyAlignment="1">
      <alignment horizontal="center"/>
      <protection locked="0"/>
    </xf>
    <xf numFmtId="49" fontId="23" fillId="0" borderId="0" xfId="22" applyNumberFormat="1" applyFont="1" applyBorder="1" applyAlignment="1">
      <alignment horizontal="left"/>
    </xf>
    <xf numFmtId="49" fontId="23" fillId="0" borderId="5" xfId="22" applyNumberFormat="1" applyFont="1" applyBorder="1" applyAlignment="1">
      <alignment horizontal="left"/>
    </xf>
    <xf numFmtId="49" fontId="27" fillId="0" borderId="0" xfId="22" applyNumberFormat="1" applyFont="1" applyBorder="1" applyAlignment="1">
      <alignment horizontal="left"/>
    </xf>
    <xf numFmtId="49" fontId="27" fillId="0" borderId="5" xfId="22" applyNumberFormat="1" applyFont="1" applyBorder="1" applyAlignment="1">
      <alignment horizontal="left"/>
    </xf>
    <xf numFmtId="0" fontId="28" fillId="0" borderId="0" xfId="22" applyFont="1"/>
    <xf numFmtId="0" fontId="28" fillId="0" borderId="0" xfId="2" applyFont="1" applyBorder="1"/>
    <xf numFmtId="0" fontId="29" fillId="0" borderId="0" xfId="2" applyFont="1" applyBorder="1"/>
    <xf numFmtId="0" fontId="23" fillId="0" borderId="7" xfId="22" applyFont="1" applyBorder="1" applyAlignment="1">
      <alignment horizontal="right"/>
    </xf>
    <xf numFmtId="172" fontId="27" fillId="18" borderId="7" xfId="28" applyFill="1" applyBorder="1">
      <alignment horizontal="center" vertical="center"/>
    </xf>
    <xf numFmtId="172" fontId="27" fillId="0" borderId="7" xfId="28" applyFill="1" applyBorder="1">
      <alignment horizontal="center" vertical="center"/>
    </xf>
    <xf numFmtId="172" fontId="27" fillId="0" borderId="19" xfId="28" applyFill="1" applyBorder="1">
      <alignment horizontal="center" vertical="center"/>
    </xf>
    <xf numFmtId="172" fontId="27" fillId="0" borderId="0" xfId="28" applyFill="1" applyBorder="1">
      <alignment horizontal="center" vertical="center"/>
    </xf>
    <xf numFmtId="172" fontId="23" fillId="0" borderId="7" xfId="28" applyFont="1" applyFill="1" applyBorder="1">
      <alignment horizontal="center" vertical="center"/>
    </xf>
    <xf numFmtId="172" fontId="23" fillId="19" borderId="0" xfId="28" applyFont="1" applyFill="1" applyBorder="1">
      <alignment horizontal="center" vertical="center"/>
    </xf>
    <xf numFmtId="172" fontId="23" fillId="0" borderId="0" xfId="28" applyFont="1" applyFill="1" applyBorder="1">
      <alignment horizontal="center" vertical="center"/>
    </xf>
    <xf numFmtId="0" fontId="26" fillId="0" borderId="21" xfId="22" applyFont="1" applyBorder="1"/>
    <xf numFmtId="0" fontId="26" fillId="0" borderId="26" xfId="22" applyFont="1" applyBorder="1"/>
    <xf numFmtId="0" fontId="23" fillId="0" borderId="21" xfId="22" applyFont="1" applyBorder="1"/>
    <xf numFmtId="0" fontId="23" fillId="0" borderId="21" xfId="22" applyFont="1" applyBorder="1" applyAlignment="1">
      <alignment horizontal="right"/>
    </xf>
    <xf numFmtId="0" fontId="23" fillId="0" borderId="0" xfId="22" applyFont="1" applyBorder="1" applyAlignment="1">
      <alignment horizontal="left"/>
    </xf>
    <xf numFmtId="0" fontId="23" fillId="0" borderId="0" xfId="22" applyFont="1" applyBorder="1" applyAlignment="1">
      <alignment horizontal="right"/>
    </xf>
    <xf numFmtId="0" fontId="23" fillId="0" borderId="26" xfId="22" applyFont="1" applyBorder="1" applyAlignment="1">
      <alignment horizontal="left"/>
    </xf>
    <xf numFmtId="0" fontId="23" fillId="0" borderId="26" xfId="22" applyFont="1" applyBorder="1"/>
    <xf numFmtId="0" fontId="23" fillId="0" borderId="21" xfId="22" applyFont="1" applyBorder="1" applyAlignment="1">
      <alignment horizontal="left"/>
    </xf>
    <xf numFmtId="0" fontId="23" fillId="0" borderId="0" xfId="22" applyFont="1" applyAlignment="1">
      <alignment horizontal="center" vertical="center"/>
    </xf>
    <xf numFmtId="49" fontId="23" fillId="0" borderId="26" xfId="22" applyNumberFormat="1" applyFont="1" applyBorder="1" applyAlignment="1">
      <alignment horizontal="left"/>
    </xf>
    <xf numFmtId="0" fontId="23" fillId="0" borderId="26" xfId="22" applyFont="1" applyBorder="1" applyAlignment="1">
      <alignment horizontal="right"/>
    </xf>
    <xf numFmtId="174" fontId="23" fillId="0" borderId="0" xfId="22" applyNumberFormat="1" applyFont="1" applyBorder="1" applyAlignment="1">
      <alignment horizontal="center" wrapText="1"/>
    </xf>
    <xf numFmtId="174" fontId="23" fillId="0" borderId="0" xfId="22" applyNumberFormat="1" applyFont="1" applyFill="1" applyBorder="1" applyAlignment="1">
      <alignment horizontal="center" wrapText="1"/>
    </xf>
    <xf numFmtId="41" fontId="23" fillId="0" borderId="7" xfId="22" applyNumberFormat="1" applyFont="1" applyBorder="1" applyAlignment="1">
      <alignment horizontal="center" vertical="center"/>
    </xf>
    <xf numFmtId="0" fontId="23" fillId="0" borderId="0" xfId="22" applyFont="1" applyBorder="1" applyAlignment="1">
      <alignment horizontal="center" vertical="center"/>
    </xf>
    <xf numFmtId="175" fontId="23" fillId="12" borderId="0" xfId="22" applyNumberFormat="1" applyFont="1" applyFill="1" applyBorder="1" applyAlignment="1" applyProtection="1">
      <alignment horizontal="center" vertical="center"/>
      <protection locked="0"/>
    </xf>
    <xf numFmtId="175" fontId="23" fillId="0" borderId="7" xfId="22" applyNumberFormat="1" applyFont="1" applyBorder="1" applyAlignment="1">
      <alignment horizontal="center" vertical="center"/>
    </xf>
    <xf numFmtId="41" fontId="23" fillId="0" borderId="0" xfId="22" applyNumberFormat="1" applyFont="1" applyBorder="1" applyAlignment="1">
      <alignment horizontal="center" vertical="center"/>
    </xf>
    <xf numFmtId="9" fontId="23" fillId="0" borderId="7" xfId="22" applyNumberFormat="1" applyFont="1" applyBorder="1" applyAlignment="1">
      <alignment horizontal="center" vertical="center"/>
    </xf>
    <xf numFmtId="9" fontId="23" fillId="12" borderId="0" xfId="22" applyNumberFormat="1" applyFont="1" applyFill="1" applyBorder="1" applyAlignment="1">
      <alignment horizontal="center" vertical="center"/>
    </xf>
    <xf numFmtId="0" fontId="23" fillId="0" borderId="7" xfId="22" applyFont="1" applyBorder="1" applyAlignment="1">
      <alignment horizontal="center" vertical="center"/>
    </xf>
    <xf numFmtId="9" fontId="23" fillId="0" borderId="0" xfId="22" applyNumberFormat="1" applyFont="1" applyBorder="1" applyAlignment="1">
      <alignment horizontal="center" vertical="center"/>
    </xf>
    <xf numFmtId="0" fontId="23" fillId="0" borderId="0" xfId="22" applyFont="1" applyFill="1" applyBorder="1" applyAlignment="1">
      <alignment horizontal="center" vertical="center"/>
    </xf>
    <xf numFmtId="49" fontId="23" fillId="0" borderId="0" xfId="22" applyNumberFormat="1" applyFont="1" applyFill="1" applyBorder="1" applyAlignment="1">
      <alignment horizontal="left" vertical="center"/>
    </xf>
    <xf numFmtId="172" fontId="27" fillId="13" borderId="7" xfId="28" applyFill="1" applyBorder="1">
      <alignment horizontal="center" vertical="center"/>
    </xf>
    <xf numFmtId="172" fontId="27" fillId="0" borderId="26" xfId="28" applyFill="1" applyBorder="1">
      <alignment horizontal="center" vertical="center"/>
    </xf>
    <xf numFmtId="172" fontId="27" fillId="0" borderId="21" xfId="28" applyFill="1" applyBorder="1">
      <alignment horizontal="center" vertical="center"/>
    </xf>
    <xf numFmtId="172" fontId="27" fillId="0" borderId="28" xfId="28" applyFill="1" applyBorder="1">
      <alignment horizontal="center" vertical="center"/>
    </xf>
    <xf numFmtId="172" fontId="23" fillId="12" borderId="0" xfId="28" applyFont="1" applyFill="1" applyBorder="1">
      <alignment horizontal="center" vertical="center"/>
    </xf>
    <xf numFmtId="172" fontId="23" fillId="0" borderId="19" xfId="28" applyFont="1" applyFill="1" applyBorder="1">
      <alignment horizontal="center" vertical="center"/>
    </xf>
    <xf numFmtId="172" fontId="23" fillId="0" borderId="5" xfId="28" applyFont="1" applyFill="1" applyBorder="1">
      <alignment horizontal="center" vertical="center"/>
    </xf>
    <xf numFmtId="172" fontId="23" fillId="12" borderId="5" xfId="28" applyFont="1" applyFill="1" applyBorder="1">
      <alignment horizontal="center" vertical="center"/>
    </xf>
    <xf numFmtId="0" fontId="16" fillId="0" borderId="0" xfId="0" applyFont="1"/>
    <xf numFmtId="0" fontId="16" fillId="0" borderId="26" xfId="0" applyFont="1" applyBorder="1"/>
    <xf numFmtId="174" fontId="17" fillId="0" borderId="0" xfId="0" applyNumberFormat="1" applyFont="1" applyAlignment="1">
      <alignment horizontal="left" wrapText="1"/>
    </xf>
    <xf numFmtId="0" fontId="16" fillId="0" borderId="21" xfId="0" applyFont="1" applyBorder="1"/>
    <xf numFmtId="0" fontId="26" fillId="15" borderId="0" xfId="5" applyFont="1" applyFill="1" applyBorder="1" applyAlignment="1">
      <alignment horizontal="left" vertical="top" wrapText="1"/>
      <protection locked="0"/>
    </xf>
    <xf numFmtId="0" fontId="26" fillId="0" borderId="0" xfId="0" applyFont="1" applyAlignment="1">
      <alignment horizontal="left" vertical="top" wrapText="1"/>
    </xf>
    <xf numFmtId="0" fontId="26" fillId="0" borderId="0" xfId="0" applyFont="1" applyAlignment="1">
      <alignment vertical="center"/>
    </xf>
    <xf numFmtId="0" fontId="26" fillId="15" borderId="0" xfId="5" applyFont="1" applyFill="1" applyBorder="1" applyAlignment="1">
      <alignment vertical="center"/>
      <protection locked="0"/>
    </xf>
    <xf numFmtId="0" fontId="26" fillId="0" borderId="0" xfId="5" applyFont="1" applyFill="1" applyBorder="1" applyAlignment="1">
      <alignment vertical="center"/>
      <protection locked="0"/>
    </xf>
    <xf numFmtId="174" fontId="26" fillId="0" borderId="0" xfId="22" applyNumberFormat="1" applyFont="1" applyBorder="1" applyAlignment="1">
      <alignment horizontal="left" wrapText="1"/>
    </xf>
    <xf numFmtId="0" fontId="26" fillId="0" borderId="0" xfId="22" applyFont="1" applyAlignment="1">
      <alignment vertical="center"/>
    </xf>
    <xf numFmtId="0" fontId="26" fillId="0" borderId="0" xfId="22" applyFont="1" applyBorder="1" applyAlignment="1">
      <alignment vertical="center"/>
    </xf>
    <xf numFmtId="42" fontId="23" fillId="0" borderId="0" xfId="22" applyNumberFormat="1" applyFont="1" applyBorder="1"/>
    <xf numFmtId="0" fontId="23" fillId="0" borderId="29" xfId="22" applyFont="1" applyBorder="1" applyAlignment="1">
      <alignment horizontal="right"/>
    </xf>
    <xf numFmtId="9" fontId="23" fillId="0" borderId="0" xfId="22" applyNumberFormat="1" applyFont="1" applyBorder="1" applyAlignment="1">
      <alignment horizontal="center" vertical="top" wrapText="1"/>
    </xf>
    <xf numFmtId="41" fontId="23" fillId="0" borderId="0" xfId="22" applyNumberFormat="1" applyFont="1" applyBorder="1"/>
    <xf numFmtId="0" fontId="23" fillId="0" borderId="0" xfId="22" applyFont="1" applyBorder="1" applyAlignment="1">
      <alignment vertical="center"/>
    </xf>
    <xf numFmtId="9" fontId="23" fillId="0" borderId="0" xfId="22" applyNumberFormat="1" applyFont="1" applyBorder="1"/>
    <xf numFmtId="42" fontId="23" fillId="0" borderId="7" xfId="22" applyNumberFormat="1" applyFont="1" applyBorder="1" applyAlignment="1">
      <alignment horizontal="center" vertical="center"/>
    </xf>
    <xf numFmtId="172" fontId="23" fillId="0" borderId="28" xfId="28" applyFont="1" applyFill="1" applyBorder="1">
      <alignment horizontal="center" vertical="center"/>
    </xf>
    <xf numFmtId="172" fontId="23" fillId="0" borderId="21" xfId="28" applyFont="1" applyFill="1" applyBorder="1">
      <alignment horizontal="center" vertical="center"/>
    </xf>
    <xf numFmtId="41" fontId="21" fillId="16" borderId="7" xfId="27" applyNumberFormat="1" applyBorder="1" applyAlignment="1">
      <alignment horizontal="center" vertical="center" wrapText="1"/>
      <protection locked="0"/>
    </xf>
    <xf numFmtId="175" fontId="21" fillId="16" borderId="7" xfId="27" applyNumberFormat="1" applyBorder="1" applyAlignment="1">
      <alignment horizontal="center" vertical="center"/>
      <protection locked="0"/>
    </xf>
    <xf numFmtId="42" fontId="21" fillId="8" borderId="2" xfId="11" applyNumberFormat="1" applyAlignment="1">
      <alignment horizontal="center" vertical="center"/>
      <protection locked="0"/>
    </xf>
    <xf numFmtId="0" fontId="26" fillId="15" borderId="0" xfId="22" applyFont="1" applyFill="1" applyBorder="1" applyAlignment="1" applyProtection="1">
      <alignment vertical="center"/>
      <protection locked="0"/>
    </xf>
    <xf numFmtId="0" fontId="20" fillId="0" borderId="0" xfId="13" applyFont="1"/>
    <xf numFmtId="171" fontId="27" fillId="0" borderId="38" xfId="21" applyFont="1" applyFill="1" applyBorder="1" applyAlignment="1">
      <alignment horizontal="center" vertical="center"/>
    </xf>
    <xf numFmtId="172" fontId="23" fillId="20" borderId="33" xfId="28" applyFont="1" applyFill="1" applyBorder="1">
      <alignment horizontal="center" vertical="center"/>
    </xf>
    <xf numFmtId="166" fontId="18" fillId="0" borderId="0" xfId="0" applyNumberFormat="1" applyFont="1" applyAlignment="1">
      <alignment horizontal="left" vertical="center"/>
    </xf>
    <xf numFmtId="0" fontId="22" fillId="0" borderId="38" xfId="0" applyFont="1" applyBorder="1"/>
    <xf numFmtId="172" fontId="27" fillId="0" borderId="38" xfId="28" applyFill="1" applyBorder="1">
      <alignment horizontal="center" vertical="center"/>
    </xf>
    <xf numFmtId="171" fontId="20" fillId="0" borderId="0" xfId="0" applyNumberFormat="1" applyFont="1" applyAlignment="1">
      <alignment horizontal="center"/>
    </xf>
    <xf numFmtId="0" fontId="20" fillId="0" borderId="0" xfId="0" applyFont="1" applyAlignment="1">
      <alignment horizontal="center"/>
    </xf>
    <xf numFmtId="172" fontId="23" fillId="0" borderId="0" xfId="0" applyNumberFormat="1" applyFont="1" applyAlignment="1">
      <alignment horizontal="center" vertical="center"/>
    </xf>
    <xf numFmtId="171" fontId="20" fillId="20" borderId="32" xfId="21" applyFont="1" applyFill="1" applyBorder="1" applyAlignment="1">
      <alignment horizontal="center" vertical="center" wrapText="1"/>
    </xf>
    <xf numFmtId="171" fontId="20" fillId="0" borderId="32" xfId="21" applyFont="1" applyBorder="1" applyAlignment="1">
      <alignment horizontal="center"/>
    </xf>
    <xf numFmtId="0" fontId="28" fillId="0" borderId="0" xfId="0" applyFont="1"/>
    <xf numFmtId="0" fontId="29" fillId="0" borderId="0" xfId="0" applyFont="1"/>
    <xf numFmtId="172" fontId="23" fillId="0" borderId="38" xfId="22" applyNumberFormat="1" applyFont="1" applyFill="1" applyBorder="1" applyAlignment="1">
      <alignment horizontal="center" vertical="center"/>
    </xf>
    <xf numFmtId="6" fontId="23" fillId="0" borderId="0" xfId="22" applyNumberFormat="1" applyFont="1" applyBorder="1"/>
    <xf numFmtId="6" fontId="23" fillId="0" borderId="26" xfId="22" applyNumberFormat="1" applyFont="1" applyBorder="1"/>
    <xf numFmtId="41" fontId="19" fillId="20" borderId="41" xfId="22" applyNumberFormat="1" applyFont="1" applyFill="1" applyBorder="1" applyAlignment="1">
      <alignment horizontal="center" vertical="center" wrapText="1"/>
    </xf>
    <xf numFmtId="172" fontId="23" fillId="0" borderId="39" xfId="22" applyNumberFormat="1" applyFont="1" applyFill="1" applyBorder="1" applyAlignment="1">
      <alignment horizontal="center" vertical="center"/>
    </xf>
    <xf numFmtId="0" fontId="28" fillId="0" borderId="20" xfId="22" applyFont="1" applyBorder="1"/>
    <xf numFmtId="0" fontId="23" fillId="0" borderId="32" xfId="22" applyFont="1" applyBorder="1" applyAlignment="1">
      <alignment horizontal="center" vertical="center"/>
    </xf>
    <xf numFmtId="0" fontId="27" fillId="0" borderId="21" xfId="22" applyFont="1" applyBorder="1"/>
    <xf numFmtId="0" fontId="23" fillId="0" borderId="32" xfId="22" applyFont="1" applyBorder="1" applyAlignment="1">
      <alignment horizontal="center"/>
    </xf>
    <xf numFmtId="0" fontId="23" fillId="0" borderId="0" xfId="22" applyFont="1" applyBorder="1" applyAlignment="1">
      <alignment vertical="top" wrapText="1"/>
    </xf>
    <xf numFmtId="0" fontId="23" fillId="0" borderId="0" xfId="22" applyFont="1" applyFill="1" applyBorder="1" applyAlignment="1">
      <alignment vertical="top" wrapText="1"/>
    </xf>
    <xf numFmtId="0" fontId="23" fillId="18" borderId="37" xfId="22" applyFont="1" applyFill="1" applyBorder="1" applyAlignment="1">
      <alignment vertical="center" wrapText="1"/>
    </xf>
    <xf numFmtId="0" fontId="23" fillId="18" borderId="37" xfId="22" applyFont="1" applyFill="1" applyBorder="1" applyAlignment="1">
      <alignment vertical="center"/>
    </xf>
    <xf numFmtId="0" fontId="23" fillId="0" borderId="37" xfId="22" applyFont="1" applyBorder="1" applyAlignment="1">
      <alignment vertical="top" wrapText="1"/>
    </xf>
    <xf numFmtId="0" fontId="23" fillId="0" borderId="37" xfId="22" applyFont="1" applyFill="1" applyBorder="1" applyAlignment="1">
      <alignment vertical="top" wrapText="1"/>
    </xf>
    <xf numFmtId="0" fontId="23" fillId="11" borderId="37" xfId="22" applyFont="1" applyFill="1" applyBorder="1" applyAlignment="1">
      <alignment vertical="center"/>
    </xf>
    <xf numFmtId="0" fontId="23" fillId="11" borderId="37" xfId="22" applyFont="1" applyFill="1" applyBorder="1" applyAlignment="1">
      <alignment vertical="top"/>
    </xf>
    <xf numFmtId="176" fontId="23" fillId="11" borderId="37" xfId="22" applyNumberFormat="1" applyFont="1" applyFill="1" applyBorder="1" applyAlignment="1">
      <alignment horizontal="center" vertical="center"/>
    </xf>
    <xf numFmtId="0" fontId="23" fillId="8" borderId="37" xfId="22" applyFont="1" applyFill="1" applyBorder="1" applyAlignment="1" applyProtection="1">
      <alignment horizontal="left" vertical="center"/>
      <protection locked="0"/>
    </xf>
    <xf numFmtId="0" fontId="19" fillId="21" borderId="37" xfId="22" applyFont="1" applyFill="1" applyBorder="1" applyAlignment="1">
      <alignment horizontal="left" vertical="center" wrapText="1"/>
    </xf>
    <xf numFmtId="0" fontId="19" fillId="21" borderId="37" xfId="22" applyFont="1" applyFill="1" applyBorder="1" applyAlignment="1">
      <alignment horizontal="center" vertical="center" wrapText="1"/>
    </xf>
    <xf numFmtId="0" fontId="23" fillId="0" borderId="23" xfId="22" applyFont="1" applyBorder="1" applyAlignment="1">
      <alignment vertical="top" wrapText="1"/>
    </xf>
    <xf numFmtId="0" fontId="23" fillId="0" borderId="24" xfId="22" applyFont="1" applyBorder="1" applyAlignment="1">
      <alignment vertical="top" wrapText="1"/>
    </xf>
    <xf numFmtId="0" fontId="23" fillId="0" borderId="25" xfId="22" applyFont="1" applyBorder="1" applyAlignment="1">
      <alignment vertical="top" wrapText="1"/>
    </xf>
    <xf numFmtId="0" fontId="23" fillId="0" borderId="26" xfId="22" applyFont="1" applyBorder="1" applyAlignment="1">
      <alignment vertical="top" wrapText="1"/>
    </xf>
    <xf numFmtId="0" fontId="23" fillId="0" borderId="27" xfId="22" applyFont="1" applyBorder="1" applyAlignment="1">
      <alignment vertical="top" wrapText="1"/>
    </xf>
    <xf numFmtId="0" fontId="19" fillId="0" borderId="20" xfId="22" applyFont="1" applyFill="1" applyBorder="1" applyAlignment="1">
      <alignment horizontal="left" vertical="center" wrapText="1"/>
    </xf>
    <xf numFmtId="0" fontId="19" fillId="0" borderId="21" xfId="22" applyFont="1" applyFill="1" applyBorder="1" applyAlignment="1">
      <alignment horizontal="left" vertical="center" wrapText="1"/>
    </xf>
    <xf numFmtId="0" fontId="19" fillId="0" borderId="22" xfId="22" applyFont="1" applyFill="1" applyBorder="1" applyAlignment="1">
      <alignment horizontal="left" vertical="center" wrapText="1"/>
    </xf>
    <xf numFmtId="0" fontId="19" fillId="17" borderId="21" xfId="22" applyFont="1" applyFill="1" applyBorder="1" applyAlignment="1">
      <alignment horizontal="left" vertical="center" wrapText="1"/>
    </xf>
    <xf numFmtId="0" fontId="19" fillId="21" borderId="43" xfId="22" applyFont="1" applyFill="1" applyBorder="1" applyAlignment="1">
      <alignment horizontal="left" vertical="center" wrapText="1"/>
    </xf>
    <xf numFmtId="0" fontId="19" fillId="21" borderId="43" xfId="22" applyFont="1" applyFill="1" applyBorder="1" applyAlignment="1">
      <alignment horizontal="center" vertical="center" wrapText="1"/>
    </xf>
    <xf numFmtId="0" fontId="23" fillId="18" borderId="44" xfId="22" applyFont="1" applyFill="1" applyBorder="1" applyAlignment="1">
      <alignment vertical="center"/>
    </xf>
    <xf numFmtId="0" fontId="23" fillId="18" borderId="44" xfId="22" applyFont="1" applyFill="1" applyBorder="1" applyAlignment="1">
      <alignment vertical="center" wrapText="1"/>
    </xf>
    <xf numFmtId="0" fontId="23" fillId="11" borderId="44" xfId="22" applyFont="1" applyFill="1" applyBorder="1" applyAlignment="1">
      <alignment vertical="center"/>
    </xf>
    <xf numFmtId="0" fontId="23" fillId="11" borderId="44" xfId="22" applyFont="1" applyFill="1" applyBorder="1" applyAlignment="1">
      <alignment vertical="top"/>
    </xf>
    <xf numFmtId="176" fontId="23" fillId="11" borderId="44" xfId="22" applyNumberFormat="1" applyFont="1" applyFill="1" applyBorder="1" applyAlignment="1">
      <alignment horizontal="center" vertical="center"/>
    </xf>
    <xf numFmtId="176" fontId="23" fillId="0" borderId="37" xfId="22" applyNumberFormat="1" applyFont="1" applyFill="1" applyBorder="1" applyAlignment="1">
      <alignment horizontal="right" vertical="center" wrapText="1" indent="1"/>
    </xf>
    <xf numFmtId="172" fontId="27" fillId="14" borderId="42" xfId="22" applyNumberFormat="1" applyFont="1" applyFill="1" applyBorder="1" applyAlignment="1">
      <alignment horizontal="left" vertical="center"/>
    </xf>
    <xf numFmtId="172" fontId="27" fillId="14" borderId="42" xfId="22" applyNumberFormat="1" applyFont="1" applyFill="1" applyBorder="1" applyAlignment="1">
      <alignment horizontal="center" vertical="center"/>
    </xf>
    <xf numFmtId="172" fontId="32" fillId="14" borderId="42" xfId="22" applyNumberFormat="1" applyFont="1" applyFill="1" applyBorder="1" applyAlignment="1">
      <alignment horizontal="left" vertical="center"/>
    </xf>
    <xf numFmtId="172" fontId="32" fillId="14" borderId="42" xfId="22" applyNumberFormat="1" applyFont="1" applyFill="1" applyBorder="1" applyAlignment="1">
      <alignment horizontal="center" vertical="center"/>
    </xf>
    <xf numFmtId="171" fontId="21" fillId="16" borderId="32" xfId="27" applyNumberFormat="1" applyBorder="1" applyAlignment="1">
      <alignment horizontal="center"/>
      <protection locked="0"/>
    </xf>
    <xf numFmtId="0" fontId="21" fillId="16" borderId="32" xfId="27" applyNumberFormat="1" applyBorder="1" applyAlignment="1">
      <alignment horizontal="center"/>
      <protection locked="0"/>
    </xf>
    <xf numFmtId="0" fontId="20" fillId="0" borderId="0" xfId="0" applyFont="1" applyAlignment="1">
      <alignment horizontal="center" vertical="center" wrapText="1"/>
    </xf>
    <xf numFmtId="0" fontId="20" fillId="0" borderId="0" xfId="0" applyFont="1" applyAlignment="1">
      <alignment horizontal="left" vertical="top" wrapText="1"/>
    </xf>
    <xf numFmtId="0" fontId="23" fillId="0" borderId="0" xfId="22" applyFont="1" applyBorder="1" applyAlignment="1">
      <alignment horizontal="left" vertical="center" wrapText="1"/>
    </xf>
    <xf numFmtId="0" fontId="33" fillId="0" borderId="0" xfId="10" applyFont="1" applyBorder="1" applyAlignment="1">
      <alignment horizontal="left" vertical="center" wrapText="1"/>
    </xf>
    <xf numFmtId="0" fontId="19" fillId="17" borderId="21" xfId="22" applyFont="1" applyFill="1" applyBorder="1" applyAlignment="1">
      <alignment horizontal="center" vertical="center" wrapText="1"/>
    </xf>
    <xf numFmtId="0" fontId="21" fillId="8" borderId="40" xfId="11" applyBorder="1" applyAlignment="1">
      <alignment horizontal="center" vertical="center" wrapText="1"/>
      <protection locked="0"/>
    </xf>
    <xf numFmtId="180" fontId="23" fillId="2" borderId="40" xfId="28" applyNumberFormat="1" applyFont="1" applyFill="1" applyBorder="1" applyProtection="1">
      <alignment horizontal="center" vertical="center"/>
      <protection locked="0"/>
    </xf>
    <xf numFmtId="172" fontId="27" fillId="16" borderId="40" xfId="28" applyFill="1" applyBorder="1" applyProtection="1">
      <alignment horizontal="center" vertical="center"/>
      <protection locked="0"/>
    </xf>
    <xf numFmtId="0" fontId="23" fillId="15" borderId="40" xfId="22" applyFont="1" applyFill="1" applyBorder="1" applyAlignment="1">
      <alignment horizontal="left" vertical="center" wrapText="1"/>
    </xf>
    <xf numFmtId="0" fontId="0" fillId="0" borderId="0" xfId="0" applyAlignment="1">
      <alignment horizontal="left" vertical="center"/>
    </xf>
    <xf numFmtId="0" fontId="20" fillId="0" borderId="0" xfId="0" applyFont="1" applyAlignment="1">
      <alignment horizontal="left" vertical="center" wrapText="1"/>
    </xf>
    <xf numFmtId="0" fontId="20" fillId="15" borderId="40" xfId="0" applyFont="1" applyFill="1" applyBorder="1" applyAlignment="1">
      <alignment horizontal="left" vertical="center" wrapText="1"/>
    </xf>
    <xf numFmtId="0" fontId="20" fillId="0" borderId="0" xfId="0" applyFont="1" applyAlignment="1">
      <alignment vertical="center"/>
    </xf>
    <xf numFmtId="0" fontId="23" fillId="0" borderId="0" xfId="22" applyFont="1" applyBorder="1" applyAlignment="1">
      <alignment horizontal="center" vertical="center" wrapText="1"/>
    </xf>
    <xf numFmtId="0" fontId="23" fillId="15" borderId="3" xfId="5" applyFont="1" applyFill="1">
      <protection locked="0"/>
    </xf>
    <xf numFmtId="0" fontId="34" fillId="0" borderId="0" xfId="2" applyFont="1" applyAlignment="1"/>
    <xf numFmtId="0" fontId="34" fillId="0" borderId="0" xfId="2" applyFont="1"/>
    <xf numFmtId="0" fontId="1" fillId="0" borderId="0" xfId="0" applyFont="1" applyAlignment="1">
      <alignment wrapText="1"/>
    </xf>
    <xf numFmtId="172" fontId="23" fillId="18" borderId="32" xfId="28" applyFont="1" applyFill="1" applyBorder="1">
      <alignment horizontal="center" vertical="center"/>
    </xf>
    <xf numFmtId="172" fontId="23" fillId="0" borderId="33" xfId="28" applyFont="1" applyFill="1" applyBorder="1">
      <alignment horizontal="center" vertical="center"/>
    </xf>
    <xf numFmtId="172" fontId="27" fillId="18" borderId="32" xfId="28" applyFill="1" applyBorder="1">
      <alignment horizontal="center" vertical="center"/>
    </xf>
    <xf numFmtId="172" fontId="27" fillId="0" borderId="33" xfId="28" applyFill="1" applyBorder="1">
      <alignment horizontal="center" vertical="center"/>
    </xf>
    <xf numFmtId="171" fontId="21" fillId="16" borderId="32" xfId="27" applyNumberFormat="1" applyBorder="1" applyAlignment="1">
      <alignment horizontal="center" vertical="center"/>
      <protection locked="0"/>
    </xf>
    <xf numFmtId="0" fontId="1" fillId="0" borderId="0" xfId="0" applyFont="1" applyAlignment="1">
      <alignment horizontal="left"/>
    </xf>
    <xf numFmtId="0" fontId="0" fillId="0" borderId="0" xfId="0" applyAlignment="1">
      <alignment horizontal="left"/>
    </xf>
    <xf numFmtId="0" fontId="0" fillId="15" borderId="0" xfId="0" applyFill="1"/>
    <xf numFmtId="0" fontId="40" fillId="15" borderId="0" xfId="22" applyFont="1" applyFill="1" applyAlignment="1">
      <alignment vertical="center"/>
    </xf>
    <xf numFmtId="0" fontId="23" fillId="15" borderId="0" xfId="22" applyFont="1" applyFill="1" applyAlignment="1">
      <alignment vertical="top"/>
    </xf>
    <xf numFmtId="0" fontId="23" fillId="0" borderId="0" xfId="22" applyFont="1" applyFill="1" applyAlignment="1">
      <alignment vertical="top"/>
    </xf>
    <xf numFmtId="0" fontId="23" fillId="0" borderId="0" xfId="22" applyFont="1" applyFill="1" applyAlignment="1">
      <alignment horizontal="left" vertical="top" indent="2"/>
    </xf>
    <xf numFmtId="0" fontId="21" fillId="2" borderId="2" xfId="3" applyFont="1">
      <protection locked="0"/>
    </xf>
    <xf numFmtId="0" fontId="42" fillId="3" borderId="2" xfId="4" applyFont="1"/>
    <xf numFmtId="164" fontId="21" fillId="2" borderId="2" xfId="3" applyNumberFormat="1" applyFont="1">
      <protection locked="0"/>
    </xf>
    <xf numFmtId="0" fontId="24" fillId="0" borderId="0" xfId="0" applyFont="1" applyAlignment="1">
      <alignment vertical="top" wrapText="1"/>
    </xf>
    <xf numFmtId="0" fontId="20" fillId="15" borderId="0" xfId="0" applyFont="1" applyFill="1"/>
    <xf numFmtId="0" fontId="43" fillId="15" borderId="0" xfId="0" applyFont="1" applyFill="1" applyAlignment="1">
      <alignment horizontal="right" vertical="top"/>
    </xf>
    <xf numFmtId="0" fontId="20" fillId="15" borderId="0" xfId="0" applyFont="1" applyFill="1" applyAlignment="1">
      <alignment horizontal="left" indent="2"/>
    </xf>
    <xf numFmtId="10" fontId="21" fillId="16" borderId="2" xfId="27" applyNumberFormat="1" applyBorder="1" applyAlignment="1">
      <protection locked="0"/>
    </xf>
    <xf numFmtId="0" fontId="2" fillId="0" borderId="0" xfId="1" applyFill="1" applyBorder="1"/>
    <xf numFmtId="0" fontId="1" fillId="0" borderId="0" xfId="0" applyFont="1" applyAlignment="1">
      <alignment horizontal="left" indent="2"/>
    </xf>
    <xf numFmtId="0" fontId="37" fillId="0" borderId="0" xfId="10" applyFont="1" applyBorder="1"/>
    <xf numFmtId="0" fontId="21" fillId="16" borderId="2" xfId="27" applyNumberFormat="1" applyBorder="1" applyAlignment="1">
      <protection locked="0"/>
    </xf>
    <xf numFmtId="0" fontId="20" fillId="0" borderId="0" xfId="0" applyFont="1" applyAlignment="1">
      <alignment horizontal="left" indent="2"/>
    </xf>
    <xf numFmtId="0" fontId="21" fillId="8" borderId="2" xfId="11">
      <protection locked="0"/>
    </xf>
    <xf numFmtId="172" fontId="27" fillId="13" borderId="7" xfId="28" applyFill="1" applyBorder="1" applyAlignment="1">
      <alignment horizontal="left" vertical="center"/>
    </xf>
    <xf numFmtId="0" fontId="40" fillId="0" borderId="0" xfId="22" applyFont="1" applyFill="1" applyAlignment="1">
      <alignment vertical="center"/>
    </xf>
    <xf numFmtId="0" fontId="4" fillId="21" borderId="0" xfId="8" applyFont="1" applyFill="1"/>
    <xf numFmtId="0" fontId="3" fillId="22" borderId="0" xfId="7" applyFill="1"/>
    <xf numFmtId="0" fontId="3" fillId="17" borderId="0" xfId="6" applyFill="1"/>
    <xf numFmtId="0" fontId="4" fillId="20" borderId="0" xfId="9" applyFont="1" applyFill="1"/>
    <xf numFmtId="0" fontId="2" fillId="0" borderId="46" xfId="29"/>
    <xf numFmtId="171" fontId="23" fillId="15" borderId="0" xfId="22" applyNumberFormat="1" applyFont="1" applyFill="1" applyAlignment="1">
      <alignment vertical="top"/>
    </xf>
    <xf numFmtId="171" fontId="23" fillId="15" borderId="0" xfId="22" applyNumberFormat="1" applyFont="1" applyFill="1" applyAlignment="1"/>
    <xf numFmtId="171" fontId="27" fillId="15" borderId="0" xfId="22" applyNumberFormat="1" applyFont="1" applyFill="1" applyAlignment="1">
      <alignment vertical="center"/>
    </xf>
    <xf numFmtId="0" fontId="23" fillId="15" borderId="0" xfId="22" applyFont="1" applyFill="1" applyAlignment="1">
      <alignment horizontal="left" vertical="top" indent="2"/>
    </xf>
    <xf numFmtId="0" fontId="36" fillId="15" borderId="0" xfId="22" applyFont="1" applyFill="1" applyAlignment="1">
      <alignment horizontal="left" vertical="top" indent="2"/>
    </xf>
    <xf numFmtId="0" fontId="41" fillId="15" borderId="0" xfId="22" applyFont="1" applyFill="1" applyAlignment="1">
      <alignment vertical="top"/>
    </xf>
    <xf numFmtId="0" fontId="45" fillId="0" borderId="0" xfId="0" applyFont="1" applyAlignment="1">
      <alignment vertical="center"/>
    </xf>
    <xf numFmtId="0" fontId="46" fillId="0" borderId="0" xfId="0" applyFont="1" applyAlignment="1">
      <alignment horizontal="left" vertical="center" wrapText="1"/>
    </xf>
    <xf numFmtId="0" fontId="46" fillId="0" borderId="0" xfId="0" applyFont="1" applyAlignment="1">
      <alignment horizontal="left" wrapText="1"/>
    </xf>
    <xf numFmtId="171" fontId="23" fillId="15" borderId="0" xfId="22" applyNumberFormat="1" applyFont="1" applyFill="1" applyAlignment="1">
      <alignment horizontal="left" vertical="top" indent="2"/>
    </xf>
    <xf numFmtId="0" fontId="20" fillId="15" borderId="27" xfId="0" applyFont="1" applyFill="1" applyBorder="1" applyAlignment="1">
      <alignment horizontal="left"/>
    </xf>
    <xf numFmtId="0" fontId="20" fillId="15" borderId="27" xfId="0" applyFont="1" applyFill="1" applyBorder="1" applyAlignment="1">
      <alignment wrapText="1"/>
    </xf>
    <xf numFmtId="0" fontId="23" fillId="15" borderId="0" xfId="0" applyFont="1" applyFill="1" applyAlignment="1">
      <alignment horizontal="left" vertical="top"/>
    </xf>
    <xf numFmtId="0" fontId="20" fillId="15" borderId="0" xfId="0" applyFont="1" applyFill="1" applyAlignment="1">
      <alignment vertical="top"/>
    </xf>
    <xf numFmtId="171" fontId="27" fillId="15" borderId="20" xfId="22" applyNumberFormat="1" applyFont="1" applyFill="1" applyBorder="1" applyAlignment="1">
      <alignment horizontal="left" vertical="top"/>
    </xf>
    <xf numFmtId="0" fontId="22" fillId="15" borderId="21" xfId="0" applyFont="1" applyFill="1" applyBorder="1"/>
    <xf numFmtId="0" fontId="22" fillId="15" borderId="22" xfId="0" applyFont="1" applyFill="1" applyBorder="1"/>
    <xf numFmtId="0" fontId="37" fillId="15" borderId="23" xfId="10" applyFont="1" applyFill="1" applyBorder="1" applyAlignment="1">
      <alignment horizontal="left"/>
    </xf>
    <xf numFmtId="0" fontId="20" fillId="15" borderId="24" xfId="0" applyFont="1" applyFill="1" applyBorder="1"/>
    <xf numFmtId="0" fontId="37" fillId="15" borderId="25" xfId="10" applyFont="1" applyFill="1" applyBorder="1" applyAlignment="1">
      <alignment horizontal="left"/>
    </xf>
    <xf numFmtId="0" fontId="20" fillId="15" borderId="26" xfId="0" applyFont="1" applyFill="1" applyBorder="1"/>
    <xf numFmtId="0" fontId="20" fillId="15" borderId="27" xfId="0" applyFont="1" applyFill="1" applyBorder="1"/>
    <xf numFmtId="0" fontId="37" fillId="15" borderId="0" xfId="10" applyFont="1" applyFill="1" applyAlignment="1"/>
    <xf numFmtId="0" fontId="20" fillId="15" borderId="26" xfId="0" applyFont="1" applyFill="1" applyBorder="1" applyAlignment="1">
      <alignment horizontal="left"/>
    </xf>
    <xf numFmtId="0" fontId="20" fillId="15" borderId="0" xfId="0" applyFont="1" applyFill="1" applyAlignment="1">
      <alignment horizontal="left"/>
    </xf>
    <xf numFmtId="0" fontId="2" fillId="0" borderId="45" xfId="1" applyBorder="1" applyAlignment="1"/>
    <xf numFmtId="0" fontId="0" fillId="0" borderId="45" xfId="0" applyBorder="1"/>
    <xf numFmtId="0" fontId="2" fillId="0" borderId="0" xfId="1" applyBorder="1" applyAlignment="1"/>
    <xf numFmtId="0" fontId="37" fillId="15" borderId="25" xfId="10" applyFont="1" applyFill="1" applyBorder="1" applyAlignment="1">
      <alignment horizontal="left" vertical="top"/>
    </xf>
    <xf numFmtId="0" fontId="20" fillId="15" borderId="24" xfId="0" applyFont="1" applyFill="1" applyBorder="1" applyAlignment="1">
      <alignment horizontal="left" vertical="top" wrapText="1"/>
    </xf>
    <xf numFmtId="0" fontId="20" fillId="15" borderId="27" xfId="0" applyFont="1" applyFill="1" applyBorder="1" applyAlignment="1">
      <alignment horizontal="left" vertical="top" wrapText="1"/>
    </xf>
    <xf numFmtId="0" fontId="37" fillId="15" borderId="23" xfId="10" applyFont="1" applyFill="1" applyBorder="1" applyAlignment="1">
      <alignment horizontal="left" vertical="top"/>
    </xf>
    <xf numFmtId="0" fontId="20" fillId="15" borderId="26" xfId="0" applyFont="1" applyFill="1" applyBorder="1" applyAlignment="1">
      <alignment vertical="top"/>
    </xf>
    <xf numFmtId="0" fontId="22" fillId="15" borderId="21" xfId="0" applyFont="1" applyFill="1" applyBorder="1" applyAlignment="1">
      <alignment horizontal="left" vertical="top"/>
    </xf>
    <xf numFmtId="0" fontId="22" fillId="15" borderId="22" xfId="0" applyFont="1" applyFill="1" applyBorder="1" applyAlignment="1">
      <alignment horizontal="left" vertical="top"/>
    </xf>
    <xf numFmtId="0" fontId="20" fillId="15" borderId="0" xfId="0" applyFont="1" applyFill="1" applyAlignment="1">
      <alignment horizontal="left" vertical="top"/>
    </xf>
    <xf numFmtId="0" fontId="20" fillId="15" borderId="26" xfId="0" applyFont="1" applyFill="1" applyBorder="1" applyAlignment="1">
      <alignment horizontal="left" vertical="top"/>
    </xf>
    <xf numFmtId="0" fontId="47" fillId="0" borderId="0" xfId="0" applyFont="1"/>
    <xf numFmtId="0" fontId="6" fillId="0" borderId="0" xfId="10" applyFill="1" applyBorder="1" applyAlignment="1">
      <alignment vertical="top" wrapText="1"/>
    </xf>
    <xf numFmtId="0" fontId="31" fillId="0" borderId="20" xfId="22" applyFont="1" applyBorder="1" applyAlignment="1">
      <alignment horizontal="center" wrapText="1"/>
    </xf>
    <xf numFmtId="0" fontId="31" fillId="0" borderId="21" xfId="22" applyFont="1" applyBorder="1" applyAlignment="1">
      <alignment horizontal="center" wrapText="1"/>
    </xf>
    <xf numFmtId="0" fontId="31" fillId="0" borderId="22" xfId="22" applyFont="1" applyBorder="1" applyAlignment="1">
      <alignment horizontal="center" wrapText="1"/>
    </xf>
    <xf numFmtId="172" fontId="23" fillId="0" borderId="47" xfId="22" applyNumberFormat="1" applyFont="1" applyBorder="1" applyAlignment="1">
      <alignment horizontal="center" vertical="center" wrapText="1"/>
    </xf>
    <xf numFmtId="172" fontId="23" fillId="0" borderId="48" xfId="22" applyNumberFormat="1" applyFont="1" applyBorder="1" applyAlignment="1">
      <alignment horizontal="center" vertical="center" wrapText="1"/>
    </xf>
    <xf numFmtId="172" fontId="23" fillId="0" borderId="49" xfId="22" applyNumberFormat="1" applyFont="1" applyFill="1" applyBorder="1" applyAlignment="1">
      <alignment horizontal="center" vertical="center" wrapText="1"/>
    </xf>
    <xf numFmtId="49" fontId="23" fillId="0" borderId="0" xfId="22" applyNumberFormat="1" applyFont="1" applyBorder="1" applyAlignment="1">
      <alignment horizontal="left" vertical="center"/>
    </xf>
    <xf numFmtId="0" fontId="6" fillId="0" borderId="0" xfId="10" applyFill="1" applyBorder="1" applyAlignment="1">
      <alignment horizontal="left" vertical="center" wrapText="1"/>
    </xf>
    <xf numFmtId="0" fontId="0" fillId="0" borderId="0" xfId="0" applyAlignment="1">
      <alignment horizontal="left" vertical="top" wrapText="1"/>
    </xf>
    <xf numFmtId="0" fontId="6" fillId="0" borderId="0" xfId="10" applyAlignment="1">
      <alignment vertical="top"/>
    </xf>
    <xf numFmtId="0" fontId="3" fillId="22" borderId="0" xfId="7" applyFill="1" applyAlignment="1">
      <alignment vertical="top"/>
    </xf>
    <xf numFmtId="0" fontId="1" fillId="0" borderId="0" xfId="0" applyFont="1" applyAlignment="1">
      <alignment vertical="top"/>
    </xf>
    <xf numFmtId="0" fontId="3" fillId="17" borderId="0" xfId="6" applyFill="1" applyAlignment="1">
      <alignment vertical="top"/>
    </xf>
    <xf numFmtId="0" fontId="4" fillId="20" borderId="0" xfId="9" applyFont="1" applyFill="1" applyAlignment="1">
      <alignment vertical="top"/>
    </xf>
    <xf numFmtId="0" fontId="20" fillId="21" borderId="37" xfId="0" applyFont="1" applyFill="1" applyBorder="1"/>
    <xf numFmtId="0" fontId="20" fillId="22" borderId="37" xfId="0" applyFont="1" applyFill="1" applyBorder="1"/>
    <xf numFmtId="0" fontId="20" fillId="17" borderId="37" xfId="0" applyFont="1" applyFill="1" applyBorder="1"/>
    <xf numFmtId="0" fontId="20" fillId="20" borderId="37" xfId="0" applyFont="1" applyFill="1" applyBorder="1"/>
    <xf numFmtId="171" fontId="23" fillId="15" borderId="0" xfId="22" applyNumberFormat="1" applyFont="1" applyFill="1" applyAlignment="1">
      <alignment horizontal="left" vertical="top" indent="15"/>
    </xf>
    <xf numFmtId="0" fontId="27" fillId="15" borderId="0" xfId="0" applyFont="1" applyFill="1" applyAlignment="1">
      <alignment vertical="center"/>
    </xf>
    <xf numFmtId="0" fontId="23" fillId="15" borderId="0" xfId="0" applyFont="1" applyFill="1" applyAlignment="1">
      <alignment vertical="center"/>
    </xf>
    <xf numFmtId="0" fontId="23" fillId="15" borderId="0" xfId="0" applyFont="1" applyFill="1" applyAlignment="1">
      <alignment horizontal="left" vertical="center" indent="2"/>
    </xf>
    <xf numFmtId="0" fontId="23" fillId="15" borderId="0" xfId="0" applyFont="1" applyFill="1" applyAlignment="1">
      <alignment horizontal="left" vertical="center" indent="4"/>
    </xf>
    <xf numFmtId="0" fontId="22" fillId="15" borderId="0" xfId="0" applyFont="1" applyFill="1"/>
    <xf numFmtId="0" fontId="20" fillId="15" borderId="0" xfId="0" applyFont="1" applyFill="1" applyAlignment="1">
      <alignment horizontal="left" indent="4"/>
    </xf>
    <xf numFmtId="172" fontId="27" fillId="19" borderId="50" xfId="0" applyNumberFormat="1" applyFont="1" applyFill="1" applyBorder="1" applyAlignment="1" applyProtection="1">
      <alignment horizontal="left" vertical="center"/>
      <protection locked="0"/>
    </xf>
    <xf numFmtId="172" fontId="27" fillId="19" borderId="39" xfId="0" applyNumberFormat="1" applyFont="1" applyFill="1" applyBorder="1" applyAlignment="1" applyProtection="1">
      <alignment horizontal="center" vertical="center"/>
      <protection locked="0"/>
    </xf>
    <xf numFmtId="172" fontId="27" fillId="19" borderId="39" xfId="0" applyNumberFormat="1" applyFont="1" applyFill="1" applyBorder="1" applyAlignment="1">
      <alignment horizontal="center" vertical="center"/>
    </xf>
    <xf numFmtId="172" fontId="27" fillId="19" borderId="51" xfId="0" applyNumberFormat="1" applyFont="1" applyFill="1" applyBorder="1" applyAlignment="1" applyProtection="1">
      <alignment horizontal="center" vertical="center"/>
      <protection locked="0"/>
    </xf>
    <xf numFmtId="171" fontId="20" fillId="15" borderId="0" xfId="0" applyNumberFormat="1" applyFont="1" applyFill="1" applyAlignment="1">
      <alignment horizontal="center"/>
    </xf>
    <xf numFmtId="0" fontId="20" fillId="15" borderId="0" xfId="0" applyFont="1" applyFill="1" applyAlignment="1">
      <alignment horizontal="center"/>
    </xf>
    <xf numFmtId="172" fontId="23" fillId="15" borderId="0" xfId="0" applyNumberFormat="1" applyFont="1" applyFill="1" applyAlignment="1">
      <alignment horizontal="center" vertical="center"/>
    </xf>
    <xf numFmtId="166" fontId="18" fillId="15" borderId="0" xfId="0" applyNumberFormat="1" applyFont="1" applyFill="1" applyAlignment="1">
      <alignment horizontal="left" vertical="center"/>
    </xf>
    <xf numFmtId="0" fontId="20" fillId="15" borderId="0" xfId="0" applyFont="1" applyFill="1" applyAlignment="1">
      <alignment horizontal="left" vertical="top" indent="2"/>
    </xf>
    <xf numFmtId="0" fontId="20" fillId="15" borderId="0" xfId="0" applyFont="1" applyFill="1" applyAlignment="1">
      <alignment horizontal="left" vertical="top" indent="4"/>
    </xf>
    <xf numFmtId="0" fontId="30" fillId="15" borderId="0" xfId="0" applyFont="1" applyFill="1" applyAlignment="1">
      <alignment horizontal="left" vertical="top" indent="2"/>
    </xf>
    <xf numFmtId="166" fontId="51" fillId="15" borderId="0" xfId="0" applyNumberFormat="1" applyFont="1" applyFill="1" applyAlignment="1">
      <alignment horizontal="left" vertical="center"/>
    </xf>
    <xf numFmtId="172" fontId="21" fillId="16" borderId="0" xfId="21" applyNumberFormat="1" applyFont="1" applyFill="1" applyBorder="1" applyAlignment="1" applyProtection="1">
      <alignment horizontal="center"/>
      <protection locked="0"/>
    </xf>
    <xf numFmtId="0" fontId="20" fillId="15" borderId="0" xfId="0" quotePrefix="1" applyFont="1" applyFill="1"/>
    <xf numFmtId="0" fontId="22" fillId="0" borderId="0" xfId="0" applyFont="1"/>
    <xf numFmtId="0" fontId="35" fillId="0" borderId="0" xfId="0" applyFont="1" applyAlignment="1">
      <alignment horizontal="center"/>
    </xf>
    <xf numFmtId="171" fontId="21" fillId="16" borderId="0" xfId="21" applyFont="1" applyFill="1" applyBorder="1" applyAlignment="1" applyProtection="1">
      <alignment horizontal="center"/>
      <protection locked="0"/>
    </xf>
    <xf numFmtId="0" fontId="20" fillId="0" borderId="26" xfId="0" applyFont="1" applyBorder="1"/>
    <xf numFmtId="0" fontId="22" fillId="0" borderId="21" xfId="0" applyFont="1" applyBorder="1"/>
    <xf numFmtId="0" fontId="53" fillId="0" borderId="1" xfId="1" applyFont="1"/>
    <xf numFmtId="0" fontId="53" fillId="0" borderId="46" xfId="29" applyFont="1"/>
    <xf numFmtId="0" fontId="23" fillId="0" borderId="0" xfId="22" applyFont="1" applyAlignment="1" applyProtection="1">
      <alignment horizontal="center" vertical="center"/>
    </xf>
    <xf numFmtId="175" fontId="23" fillId="12" borderId="0" xfId="22" applyNumberFormat="1" applyFont="1" applyFill="1" applyBorder="1" applyAlignment="1" applyProtection="1">
      <alignment horizontal="center" vertical="center"/>
    </xf>
    <xf numFmtId="41" fontId="23" fillId="0" borderId="0" xfId="22" applyNumberFormat="1" applyFont="1" applyBorder="1" applyAlignment="1" applyProtection="1">
      <alignment horizontal="center" vertical="center"/>
    </xf>
    <xf numFmtId="9" fontId="23" fillId="12" borderId="0" xfId="22" applyNumberFormat="1" applyFont="1" applyFill="1" applyBorder="1" applyAlignment="1" applyProtection="1">
      <alignment horizontal="center" vertical="center"/>
    </xf>
    <xf numFmtId="0" fontId="23" fillId="0" borderId="0" xfId="22" applyFont="1" applyBorder="1" applyAlignment="1" applyProtection="1">
      <alignment horizontal="center" vertical="center"/>
    </xf>
    <xf numFmtId="9" fontId="23" fillId="0" borderId="0" xfId="22" applyNumberFormat="1" applyFont="1" applyBorder="1" applyAlignment="1" applyProtection="1">
      <alignment horizontal="center" vertical="center"/>
    </xf>
    <xf numFmtId="6" fontId="23" fillId="0" borderId="0" xfId="22" applyNumberFormat="1" applyFont="1" applyFill="1" applyBorder="1" applyAlignment="1" applyProtection="1">
      <alignment horizontal="center" vertical="center"/>
    </xf>
    <xf numFmtId="41" fontId="20" fillId="0" borderId="7" xfId="25" applyFont="1" applyBorder="1" applyAlignment="1" applyProtection="1">
      <alignment horizontal="center" vertical="center"/>
    </xf>
    <xf numFmtId="0" fontId="16" fillId="0" borderId="0" xfId="0" applyFont="1" applyAlignment="1">
      <alignment vertical="center"/>
    </xf>
    <xf numFmtId="0" fontId="20" fillId="0" borderId="0" xfId="0" applyFont="1" applyAlignment="1">
      <alignment horizontal="center" vertical="center"/>
    </xf>
    <xf numFmtId="175" fontId="23" fillId="12" borderId="0" xfId="3" applyNumberFormat="1" applyFont="1" applyFill="1" applyBorder="1" applyAlignment="1" applyProtection="1">
      <alignment horizontal="center" vertical="center"/>
    </xf>
    <xf numFmtId="41" fontId="0" fillId="0" borderId="0" xfId="25" applyFont="1" applyBorder="1" applyProtection="1"/>
    <xf numFmtId="175" fontId="20" fillId="0" borderId="7" xfId="25" applyNumberFormat="1" applyFont="1" applyBorder="1" applyAlignment="1" applyProtection="1">
      <alignment horizontal="center" vertical="center"/>
    </xf>
    <xf numFmtId="41" fontId="20" fillId="0" borderId="0" xfId="25" applyFont="1" applyBorder="1" applyAlignment="1" applyProtection="1">
      <alignment horizontal="center" vertical="center"/>
    </xf>
    <xf numFmtId="175" fontId="23" fillId="19" borderId="0" xfId="3" applyNumberFormat="1" applyFont="1" applyFill="1" applyBorder="1" applyAlignment="1" applyProtection="1">
      <alignment horizontal="center" vertical="center"/>
    </xf>
    <xf numFmtId="9" fontId="20" fillId="0" borderId="7" xfId="26" applyFont="1" applyBorder="1" applyAlignment="1" applyProtection="1">
      <alignment horizontal="center" vertical="center"/>
    </xf>
    <xf numFmtId="9" fontId="20" fillId="19" borderId="0" xfId="26" applyFont="1" applyFill="1" applyBorder="1" applyAlignment="1" applyProtection="1">
      <alignment horizontal="center" vertical="center"/>
    </xf>
    <xf numFmtId="9" fontId="0" fillId="0" borderId="0" xfId="26" applyFont="1" applyBorder="1" applyProtection="1"/>
    <xf numFmtId="0" fontId="20" fillId="0" borderId="7" xfId="0" applyFont="1" applyBorder="1" applyAlignment="1">
      <alignment horizontal="center" vertical="center"/>
    </xf>
    <xf numFmtId="0" fontId="6" fillId="0" borderId="0" xfId="10" applyBorder="1" applyAlignment="1" applyProtection="1">
      <alignment horizontal="center" vertical="center"/>
    </xf>
    <xf numFmtId="42" fontId="0" fillId="0" borderId="0" xfId="24" applyFont="1" applyBorder="1" applyProtection="1"/>
    <xf numFmtId="42" fontId="20" fillId="0" borderId="7" xfId="24" applyFont="1" applyBorder="1" applyAlignment="1" applyProtection="1">
      <alignment horizontal="center" vertical="center"/>
    </xf>
    <xf numFmtId="0" fontId="6" fillId="0" borderId="0" xfId="10" applyBorder="1" applyProtection="1"/>
    <xf numFmtId="41" fontId="21" fillId="16" borderId="7" xfId="27" applyBorder="1" applyAlignment="1">
      <alignment horizontal="center" vertical="center" wrapText="1"/>
      <protection locked="0"/>
    </xf>
    <xf numFmtId="0" fontId="26" fillId="15" borderId="0" xfId="22" applyFont="1" applyFill="1" applyAlignment="1" applyProtection="1">
      <alignment horizontal="left" vertical="center" wrapText="1"/>
      <protection locked="0"/>
    </xf>
    <xf numFmtId="178" fontId="21" fillId="16" borderId="7" xfId="27" applyNumberFormat="1" applyBorder="1" applyAlignment="1">
      <alignment horizontal="center" vertical="center" wrapText="1"/>
      <protection locked="0"/>
    </xf>
    <xf numFmtId="179" fontId="21" fillId="16" borderId="7" xfId="27" applyNumberFormat="1" applyBorder="1" applyAlignment="1">
      <alignment horizontal="center" vertical="center" wrapText="1"/>
      <protection locked="0"/>
    </xf>
    <xf numFmtId="0" fontId="6" fillId="15" borderId="0" xfId="10" applyFill="1" applyAlignment="1" applyProtection="1">
      <alignment horizontal="left" vertical="center" wrapText="1"/>
      <protection locked="0"/>
    </xf>
    <xf numFmtId="0" fontId="23" fillId="0" borderId="38" xfId="0" applyFont="1" applyBorder="1"/>
    <xf numFmtId="171" fontId="20" fillId="0" borderId="38" xfId="0" applyNumberFormat="1" applyFont="1" applyBorder="1" applyAlignment="1">
      <alignment horizontal="center"/>
    </xf>
    <xf numFmtId="0" fontId="20" fillId="0" borderId="38" xfId="0" applyFont="1" applyBorder="1" applyAlignment="1">
      <alignment horizontal="center"/>
    </xf>
    <xf numFmtId="0" fontId="20" fillId="0" borderId="38" xfId="0" applyFont="1" applyBorder="1"/>
    <xf numFmtId="172" fontId="23" fillId="0" borderId="38" xfId="0" applyNumberFormat="1" applyFont="1" applyBorder="1" applyAlignment="1">
      <alignment horizontal="center" vertical="center"/>
    </xf>
    <xf numFmtId="0" fontId="23" fillId="15" borderId="0" xfId="22" applyFont="1" applyFill="1" applyBorder="1" applyProtection="1">
      <protection locked="0"/>
    </xf>
    <xf numFmtId="0" fontId="23" fillId="15" borderId="0" xfId="22" applyFont="1" applyFill="1" applyBorder="1" applyAlignment="1" applyProtection="1">
      <alignment horizontal="left" vertical="top" wrapText="1"/>
      <protection locked="0"/>
    </xf>
    <xf numFmtId="0" fontId="21" fillId="16" borderId="32" xfId="27" applyNumberFormat="1" applyBorder="1" applyAlignment="1">
      <alignment horizontal="center" vertical="center"/>
      <protection locked="0"/>
    </xf>
    <xf numFmtId="0" fontId="21" fillId="16" borderId="0" xfId="27" applyNumberFormat="1" applyBorder="1" applyAlignment="1">
      <protection locked="0"/>
    </xf>
    <xf numFmtId="6" fontId="21" fillId="16" borderId="32" xfId="27" applyNumberFormat="1" applyBorder="1" applyAlignment="1">
      <alignment horizontal="center"/>
      <protection locked="0"/>
    </xf>
    <xf numFmtId="0" fontId="41" fillId="15" borderId="0" xfId="0" applyFont="1" applyFill="1" applyAlignment="1">
      <alignment horizontal="left" vertical="center" indent="2"/>
    </xf>
  </cellXfs>
  <cellStyles count="30">
    <cellStyle name="Accent2" xfId="6" builtinId="33"/>
    <cellStyle name="Accent3" xfId="7" builtinId="37"/>
    <cellStyle name="Accent5" xfId="8" builtinId="45"/>
    <cellStyle name="Accent6" xfId="9" builtinId="49"/>
    <cellStyle name="Calculation" xfId="4" builtinId="22"/>
    <cellStyle name="Check" xfId="14" xr:uid="{00000000-0005-0000-0000-000005000000}"/>
    <cellStyle name="Check Left" xfId="15" xr:uid="{00000000-0005-0000-0000-000006000000}"/>
    <cellStyle name="Check Right" xfId="20" xr:uid="{00000000-0005-0000-0000-000007000000}"/>
    <cellStyle name="Check Up" xfId="16" xr:uid="{00000000-0005-0000-0000-000008000000}"/>
    <cellStyle name="Check Up 2" xfId="17" xr:uid="{00000000-0005-0000-0000-000009000000}"/>
    <cellStyle name="Comma [0]" xfId="25" builtinId="6"/>
    <cellStyle name="Currency [0]" xfId="24" builtinId="7"/>
    <cellStyle name="Currency Bold" xfId="28" xr:uid="{00000000-0005-0000-0000-00000C000000}"/>
    <cellStyle name="Header" xfId="29" xr:uid="{00000000-0005-0000-0000-00000D000000}"/>
    <cellStyle name="Heading 2" xfId="1" builtinId="17"/>
    <cellStyle name="Heading 4" xfId="2" builtinId="19"/>
    <cellStyle name="Hidden" xfId="18" xr:uid="{00000000-0005-0000-0000-000010000000}"/>
    <cellStyle name="Hyperlink" xfId="10" builtinId="8"/>
    <cellStyle name="Input" xfId="3" builtinId="20"/>
    <cellStyle name="Input dd" xfId="11" xr:uid="{00000000-0005-0000-0000-000013000000}"/>
    <cellStyle name="Normal" xfId="0" builtinId="0"/>
    <cellStyle name="Normal 2" xfId="22" xr:uid="{00000000-0005-0000-0000-000015000000}"/>
    <cellStyle name="Note" xfId="5" builtinId="10"/>
    <cellStyle name="Number" xfId="21" xr:uid="{00000000-0005-0000-0000-000017000000}"/>
    <cellStyle name="Output 2" xfId="12" xr:uid="{00000000-0005-0000-0000-000018000000}"/>
    <cellStyle name="Percent" xfId="26" builtinId="5"/>
    <cellStyle name="Required" xfId="19" xr:uid="{00000000-0005-0000-0000-00001A000000}"/>
    <cellStyle name="Sub 5" xfId="13" xr:uid="{00000000-0005-0000-0000-00001B000000}"/>
    <cellStyle name="Total" xfId="23" builtinId="25" customBuiltin="1"/>
    <cellStyle name="User_Input" xfId="27" xr:uid="{00000000-0005-0000-0000-00001D000000}"/>
  </cellStyles>
  <dxfs count="178">
    <dxf>
      <numFmt numFmtId="166" formatCode="[Red]&quot;◄ Error&quot;;[Red]&quot;◄ Error&quot;;&quot;◄ [OK]&quot;"/>
    </dxf>
    <dxf>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top style="double">
          <color rgb="FFF89646"/>
        </top>
        <bottom/>
      </border>
    </dxf>
    <dxf>
      <font>
        <strike val="0"/>
        <outline val="0"/>
        <shadow val="0"/>
        <u val="none"/>
        <vertAlign val="baseline"/>
        <sz val="10"/>
        <name val="Calibri"/>
      </font>
      <numFmt numFmtId="177" formatCode="0%;[Red]\-0%;&quot;-&quot;"/>
      <alignment horizontal="center" vertical="bottom" textRotation="0" wrapText="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font>
      <numFmt numFmtId="177" formatCode="0%;[Red]\-0%;&quot;-&quot;"/>
      <alignment horizontal="center" vertical="bottom" textRotation="0" wrapText="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font>
      <numFmt numFmtId="177" formatCode="0%;[Red]\-0%;&quot;-&quot;"/>
      <alignment horizontal="center" vertical="bottom" textRotation="0" wrapText="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font>
      <numFmt numFmtId="177" formatCode="0%;[Red]\-0%;&quot;-&quot;"/>
      <alignment horizontal="center" vertical="bottom" textRotation="0" wrapText="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font>
      <numFmt numFmtId="177" formatCode="0%;[Red]\-0%;&quot;-&quot;"/>
      <alignment horizontal="center" vertical="bottom" textRotation="0" wrapText="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font>
      <numFmt numFmtId="172" formatCode="&quot;$&quot;#,##0;[Red]\-&quot;$&quot;#,##0;&quot;-&quot;"/>
      <alignment horizontal="center" vertical="center" textRotation="0" wrapText="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font>
      <numFmt numFmtId="172" formatCode="&quot;$&quot;#,##0;[Red]\-&quot;$&quot;#,##0;&quot;-&quot;"/>
      <alignment horizontal="center" vertical="center" textRotation="0" wrapText="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font>
      <numFmt numFmtId="171" formatCode="#,##0_ ;[Red]\-#,##0;&quot;-&quot;"/>
      <alignment horizontal="center" vertical="center" textRotation="0" wrapText="0" indent="0" justifyLastLine="0" shrinkToFit="0" readingOrder="0"/>
      <border diagonalUp="0" diagonalDown="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font>
      <numFmt numFmtId="172" formatCode="&quot;$&quot;#,##0;[Red]\-&quot;$&quot;#,##0;&quot;-&quot;"/>
      <alignment horizontal="center" vertical="center" textRotation="0" wrapText="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font>
      <border diagonalUp="0" diagonalDown="0" outline="0">
        <left/>
        <right style="thin">
          <color rgb="FFF3F2F2"/>
        </right>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right style="thin">
          <color rgb="FFF3F2F2"/>
        </right>
        <top style="double">
          <color rgb="FFF89646"/>
        </top>
        <bottom/>
      </border>
    </dxf>
    <dxf>
      <border diagonalUp="0" diagonalDown="0">
        <left/>
        <right/>
        <top/>
        <bottom style="thin">
          <color rgb="FFF89646"/>
        </bottom>
      </border>
    </dxf>
    <dxf>
      <font>
        <strike val="0"/>
        <outline val="0"/>
        <shadow val="0"/>
        <u val="none"/>
        <vertAlign val="baseline"/>
        <sz val="10"/>
        <name val="Calibri"/>
      </font>
      <border diagonalUp="0" diagonalDown="0" outline="0">
        <left style="thin">
          <color rgb="FFF3F2F2"/>
        </left>
        <right style="thin">
          <color rgb="FFF3F2F2"/>
        </right>
      </border>
    </dxf>
    <dxf>
      <font>
        <strike val="0"/>
        <outline val="0"/>
        <shadow val="0"/>
        <u val="none"/>
        <vertAlign val="baseline"/>
        <sz val="10"/>
        <name val="Calibri"/>
      </font>
    </dxf>
    <dxf>
      <font>
        <strike val="0"/>
        <outline val="0"/>
        <shadow val="0"/>
        <u val="none"/>
        <vertAlign val="baseline"/>
        <sz val="10"/>
        <name val="Calibri"/>
      </font>
      <fill>
        <patternFill patternType="solid">
          <fgColor indexed="64"/>
          <bgColor rgb="FFF89646"/>
        </patternFill>
      </fill>
      <alignment horizontal="center" vertical="center" textRotation="0" wrapText="1" indent="0" justifyLastLine="0" shrinkToFit="0" readingOrder="0"/>
      <border diagonalUp="0" diagonalDown="0" outline="0">
        <left style="thin">
          <color rgb="FFF3F2F2"/>
        </left>
        <right style="thin">
          <color rgb="FFF3F2F2"/>
        </right>
      </border>
    </dxf>
    <dxf>
      <border outline="0">
        <left style="thin">
          <color rgb="FFF3F2F2"/>
        </lef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top style="thin">
          <color rgb="FFF89646"/>
        </top>
        <bottom style="double">
          <color rgb="FFF89646"/>
        </bottom>
      </border>
      <protection locked="0" hidden="0"/>
    </dxf>
    <dxf>
      <numFmt numFmtId="166" formatCode="[Red]&quot;◄ Error&quot;;[Red]&quot;◄ Error&quot;;&quot;◄ [OK]&quot;"/>
      <alignment horizontal="center" vertical="center" textRotation="0" wrapText="0" indent="0" justifyLastLine="0" shrinkToFit="0" readingOrder="0"/>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thin">
          <color rgb="FFF89646"/>
        </top>
        <bottom style="double">
          <color rgb="FFF89646"/>
        </bottom>
      </border>
    </dxf>
    <dxf>
      <border outline="0">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thin">
          <color rgb="FFF89646"/>
        </top>
        <bottom style="double">
          <color rgb="FFF89646"/>
        </bottom>
      </border>
      <protection locked="0" hidden="0"/>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thin">
          <color rgb="FFF89646"/>
        </top>
        <bottom style="double">
          <color rgb="FFF89646"/>
        </bottom>
      </border>
      <protection locked="0" hidden="0"/>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thin">
          <color rgb="FFF89646"/>
        </top>
        <bottom style="double">
          <color rgb="FFF89646"/>
        </bottom>
      </border>
      <protection locked="0" hidden="0"/>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thin">
          <color rgb="FFF89646"/>
        </top>
        <bottom style="double">
          <color rgb="FFF89646"/>
        </bottom>
      </border>
      <protection locked="0" hidden="0"/>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thin">
          <color rgb="FFF89646"/>
        </top>
        <bottom style="double">
          <color rgb="FFF89646"/>
        </bottom>
      </border>
      <protection locked="0" hidden="0"/>
    </dxf>
    <dxf>
      <numFmt numFmtId="172" formatCode="&quot;$&quot;#,##0;[Red]\-&quot;$&quot;#,##0;&quot;-&quot;"/>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thin">
          <color rgb="FFF89646"/>
        </top>
        <bottom style="double">
          <color rgb="FFF89646"/>
        </bottom>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thin">
          <color rgb="FFF89646"/>
        </top>
        <bottom style="double">
          <color rgb="FFF89646"/>
        </bottom>
      </border>
      <protection locked="0" hidden="0"/>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thin">
          <color rgb="FFF89646"/>
        </top>
        <bottom style="double">
          <color rgb="FFF89646"/>
        </bottom>
      </border>
      <protection locked="0" hidden="0"/>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left" vertical="center" textRotation="0" wrapText="0" indent="0" justifyLastLine="0" shrinkToFit="0" readingOrder="0"/>
      <border diagonalUp="0" diagonalDown="0" outline="0">
        <left/>
        <right style="thin">
          <color rgb="FFF3F2F2"/>
        </right>
        <top style="thin">
          <color rgb="FFF89646"/>
        </top>
        <bottom style="double">
          <color rgb="FFF89646"/>
        </bottom>
      </border>
      <protection locked="0" hidden="0"/>
    </dxf>
    <dxf>
      <border>
        <top style="thin">
          <color rgb="FFF89646"/>
        </top>
      </border>
    </dxf>
    <dxf>
      <fill>
        <patternFill patternType="solid">
          <fgColor indexed="64"/>
          <bgColor rgb="FFF3F2F2"/>
        </patternFill>
      </fill>
      <border diagonalUp="0" diagonalDown="0" outline="0">
        <left style="thin">
          <color rgb="FFF3F2F2"/>
        </left>
        <right style="thin">
          <color rgb="FFF3F2F2"/>
        </right>
        <top/>
        <bottom/>
      </border>
    </dxf>
    <dxf>
      <font>
        <b val="0"/>
        <i val="0"/>
        <strike val="0"/>
        <condense val="0"/>
        <extend val="0"/>
        <outline val="0"/>
        <shadow val="0"/>
        <u val="none"/>
        <vertAlign val="baseline"/>
        <sz val="10"/>
        <color rgb="FF3F3F76"/>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72" formatCode="&quot;$&quot;#,##0;[Red]\-&quot;$&quot;#,##0;&quot;-&quot;"/>
      <fill>
        <patternFill patternType="solid">
          <fgColor indexed="64"/>
          <bgColor rgb="FFF89646"/>
        </patternFill>
      </fill>
      <alignment horizontal="center" vertical="center" textRotation="0" wrapText="1" indent="0" justifyLastLine="0" shrinkToFit="0" readingOrder="0"/>
      <border diagonalUp="0" diagonalDown="0" outline="0">
        <left style="thin">
          <color rgb="FFF3F2F2"/>
        </left>
        <right style="thin">
          <color rgb="FFF3F2F2"/>
        </right>
        <top/>
        <bottom/>
      </border>
    </dxf>
    <dxf>
      <fill>
        <patternFill>
          <fgColor indexed="64"/>
          <bgColor rgb="FFFEFFCC"/>
        </patternFill>
      </fill>
      <border diagonalUp="0" diagonalDown="0">
        <left style="thin">
          <color rgb="FFF3F2F2"/>
        </left>
        <right/>
      </border>
      <protection locked="0" hidden="0"/>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style="thin">
          <color rgb="FFF3F2F2"/>
        </left>
        <right/>
        <top style="double">
          <color rgb="FFF89646"/>
        </top>
        <bottom/>
      </border>
    </dxf>
    <dxf>
      <numFmt numFmtId="166" formatCode="[Red]&quot;◄ Error&quot;;[Red]&quot;◄ Error&quot;;&quot;◄ [OK]&quot;"/>
      <alignment horizontal="center" vertical="center" textRotation="0" wrapText="0" indent="0" justifyLastLine="0" shrinkToFit="0" readingOrder="0"/>
      <border diagonalUp="0" diagonalDown="0">
        <left style="thin">
          <color rgb="FFF3F2F2"/>
        </left>
        <right style="thin">
          <color rgb="FFF3F2F2"/>
        </right>
      </border>
    </dxf>
    <dxf>
      <font>
        <b val="0"/>
        <i val="0"/>
        <strike val="0"/>
        <condense val="0"/>
        <extend val="0"/>
        <outline val="0"/>
        <shadow val="0"/>
        <u val="none"/>
        <vertAlign val="baseline"/>
        <sz val="7"/>
        <color rgb="FF969696"/>
        <name val="Calibri"/>
        <family val="2"/>
        <scheme val="none"/>
      </font>
      <numFmt numFmtId="166" formatCode="[Red]&quot;◄ Error&quot;;[Red]&quot;◄ Error&quot;;&quot;◄ [OK]&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numFmt numFmtId="172" formatCode="&quot;$&quot;#,##0;[Red]\-&quot;$&quot;#,##0;&quot;-&quot;"/>
      <alignment horizontal="center" textRotation="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color rgb="FF3F3F76"/>
        <name val="Calibri"/>
        <scheme val="minor"/>
      </font>
      <numFmt numFmtId="172" formatCode="&quot;$&quot;#,##0;[Red]\-&quot;$&quot;#,##0;&quot;-&quot;"/>
      <alignment horizontal="center" vertical="bottom" textRotation="0" wrapText="0" indent="0" justifyLastLine="0" shrinkToFit="0" readingOrder="0"/>
      <border diagonalUp="0" diagonalDown="0">
        <left style="thin">
          <color rgb="FFF3F2F2"/>
        </left>
        <right style="thin">
          <color rgb="FFF3F2F2"/>
        </right>
        <top/>
        <bottom/>
        <vertical/>
        <horizont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numFmt numFmtId="172" formatCode="&quot;$&quot;#,##0;[Red]\-&quot;$&quot;#,##0;&quot;-&quot;"/>
      <alignment horizontal="center" textRotation="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numFmt numFmtId="172" formatCode="&quot;$&quot;#,##0;[Red]\-&quot;$&quot;#,##0;&quot;-&quot;"/>
      <alignment horizontal="center" textRotation="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numFmt numFmtId="172" formatCode="&quot;$&quot;#,##0;[Red]\-&quot;$&quot;#,##0;&quot;-&quot;"/>
      <alignment horizontal="center" textRotation="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numFmt numFmtId="172" formatCode="&quot;$&quot;#,##0;[Red]\-&quot;$&quot;#,##0;&quot;-&quot;"/>
      <alignment horizontal="center" textRotation="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numFmt numFmtId="172" formatCode="&quot;$&quot;#,##0;[Red]\-&quot;$&quot;#,##0;&quot;-&quot;"/>
      <alignment horizontal="center" textRotation="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numFmt numFmtId="172" formatCode="&quot;$&quot;#,##0;[Red]\-&quot;$&quot;#,##0;&quot;-&quot;"/>
      <alignment horizontal="center" textRotation="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border diagonalUp="0" diagonalDown="0" outline="0">
        <left/>
        <right style="thin">
          <color rgb="FFF3F2F2"/>
        </right>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right style="thin">
          <color rgb="FFF3F2F2"/>
        </right>
        <top style="double">
          <color rgb="FFF89646"/>
        </top>
        <bottom/>
      </border>
    </dxf>
    <dxf>
      <border diagonalUp="0" diagonalDown="0">
        <left/>
        <right/>
        <top/>
        <bottom style="thin">
          <color rgb="FFF89646"/>
        </bottom>
      </border>
    </dxf>
    <dxf>
      <border diagonalUp="0" diagonalDown="0">
        <left style="thin">
          <color rgb="FFF3F2F2"/>
        </left>
        <right style="thin">
          <color rgb="FFF3F2F2"/>
        </right>
        <vertical style="thin">
          <color rgb="FFF3F2F2"/>
        </vertical>
      </border>
    </dxf>
    <dxf>
      <font>
        <strike val="0"/>
        <outline val="0"/>
        <shadow val="0"/>
        <u val="none"/>
        <vertAlign val="baseline"/>
        <sz val="10"/>
        <name val="Calibri"/>
      </font>
    </dxf>
    <dxf>
      <font>
        <strike val="0"/>
        <outline val="0"/>
        <shadow val="0"/>
        <u val="none"/>
        <vertAlign val="baseline"/>
        <sz val="10"/>
        <color auto="1"/>
        <name val="Calibri"/>
        <scheme val="minor"/>
      </font>
      <fill>
        <patternFill patternType="solid">
          <fgColor indexed="64"/>
          <bgColor rgb="FFF89646"/>
        </patternFill>
      </fill>
      <alignment horizontal="center" vertical="center" textRotation="0" wrapText="1" indent="0" justifyLastLine="0" shrinkToFit="0" readingOrder="0"/>
      <border diagonalUp="0" diagonalDown="0" outline="0">
        <left style="thin">
          <color rgb="FFF3F2F2"/>
        </left>
        <right style="thin">
          <color rgb="FFF3F2F2"/>
        </right>
      </border>
    </dxf>
    <dxf>
      <font>
        <strike val="0"/>
        <outline val="0"/>
        <shadow val="0"/>
        <u val="none"/>
        <vertAlign val="baseline"/>
        <sz val="10"/>
        <name val="Calibri"/>
        <scheme val="minor"/>
      </font>
      <border diagonalUp="0" diagonalDown="0">
        <left style="thin">
          <color rgb="FFF3F2F2"/>
        </left>
        <right/>
        <vertical style="thin">
          <color rgb="FFF3F2F2"/>
        </vertical>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style="thin">
          <color rgb="FFF3F2F2"/>
        </left>
        <right/>
        <top style="double">
          <color rgb="FFF89646"/>
        </top>
        <bottom/>
      </border>
    </dxf>
    <dxf>
      <font>
        <strike val="0"/>
        <outline val="0"/>
        <shadow val="0"/>
        <u val="none"/>
        <vertAlign val="baseline"/>
        <sz val="10"/>
        <name val="Calibri"/>
        <scheme val="minor"/>
      </font>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border diagonalUp="0" diagonalDown="0">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right style="thin">
          <color rgb="FFF3F2F2"/>
        </right>
        <top style="double">
          <color rgb="FFF89646"/>
        </top>
        <bottom/>
      </border>
    </dxf>
    <dxf>
      <border>
        <top style="double">
          <color rgb="FFF89646"/>
        </top>
      </border>
    </dxf>
    <dxf>
      <border diagonalUp="0" diagonalDown="0">
        <left/>
        <right/>
        <top/>
        <bottom style="thin">
          <color rgb="FFF89646"/>
        </bottom>
      </border>
    </dxf>
    <dxf>
      <font>
        <b/>
        <strike val="0"/>
        <outline val="0"/>
        <shadow val="0"/>
        <u val="none"/>
        <vertAlign val="baseline"/>
        <sz val="10"/>
        <name val="Calibri"/>
        <scheme val="minor"/>
      </font>
      <fill>
        <patternFill patternType="solid">
          <fgColor indexed="64"/>
          <bgColor rgb="FFF3F2F2"/>
        </patternFill>
      </fill>
      <border diagonalUp="0" diagonalDown="0">
        <left style="thin">
          <color rgb="FFF3F2F2"/>
        </left>
        <right style="thin">
          <color rgb="FFF3F2F2"/>
        </right>
        <vertical style="thin">
          <color rgb="FFF3F2F2"/>
        </vertical>
      </border>
    </dxf>
    <dxf>
      <font>
        <strike val="0"/>
        <outline val="0"/>
        <shadow val="0"/>
        <u val="none"/>
        <vertAlign val="baseline"/>
        <sz val="10"/>
        <name val="Calibri"/>
        <scheme val="minor"/>
      </font>
    </dxf>
    <dxf>
      <font>
        <strike val="0"/>
        <outline val="0"/>
        <shadow val="0"/>
        <u val="none"/>
        <vertAlign val="baseline"/>
        <sz val="10"/>
        <color auto="1"/>
        <name val="Calibri"/>
        <scheme val="minor"/>
      </font>
      <fill>
        <patternFill patternType="solid">
          <fgColor indexed="64"/>
          <bgColor rgb="FFF89646"/>
        </patternFill>
      </fill>
      <border diagonalUp="0" diagonalDown="0" outline="0">
        <left style="thin">
          <color rgb="FFF3F2F2"/>
        </left>
        <right style="thin">
          <color rgb="FFF3F2F2"/>
        </right>
      </border>
    </dxf>
    <dxf>
      <font>
        <strike val="0"/>
        <outline val="0"/>
        <shadow val="0"/>
        <u val="none"/>
        <vertAlign val="baseline"/>
        <sz val="10"/>
        <name val="Calibri"/>
        <scheme val="minor"/>
      </font>
      <fill>
        <patternFill patternType="solid">
          <fgColor indexed="64"/>
          <bgColor rgb="FFFEFFCC"/>
        </patternFill>
      </fill>
      <border diagonalUp="0" diagonalDown="0">
        <left style="thin">
          <color rgb="FFF3F2F2"/>
        </left>
        <right/>
        <vertical style="thin">
          <color rgb="FFF3F2F2"/>
        </vertical>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style="thin">
          <color rgb="FFF3F2F2"/>
        </left>
        <right/>
        <top style="double">
          <color rgb="FFF89646"/>
        </top>
        <bottom/>
      </border>
    </dxf>
    <dxf>
      <font>
        <strike val="0"/>
        <outline val="0"/>
        <shadow val="0"/>
        <u val="none"/>
        <vertAlign val="baseline"/>
        <sz val="10"/>
        <name val="Calibri"/>
        <scheme val="minor"/>
      </font>
      <numFmt numFmtId="172" formatCode="&quot;$&quot;#,##0;[Red]\-&quot;$&quot;#,##0;&quot;-&quot;"/>
      <alignment horizontal="center" vertical="center" textRotation="0" wrapText="0" indent="0" justifyLastLine="0" shrinkToFit="0" readingOrder="0"/>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numFmt numFmtId="172" formatCode="&quot;$&quot;#,##0;[Red]\-&quot;$&quot;#,##0;&quot;-&quot;"/>
      <alignment horizontal="center" vertical="center" textRotation="0" wrapText="0" indent="0" justifyLastLine="0" shrinkToFit="0" readingOrder="0"/>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numFmt numFmtId="172" formatCode="&quot;$&quot;#,##0;[Red]\-&quot;$&quot;#,##0;&quot;-&quot;"/>
      <alignment horizontal="center" vertical="center" textRotation="0" wrapText="0" indent="0" justifyLastLine="0" shrinkToFit="0" readingOrder="0"/>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border diagonalUp="0" diagonalDown="0">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right style="thin">
          <color rgb="FFF3F2F2"/>
        </right>
        <top style="double">
          <color rgb="FFF89646"/>
        </top>
        <bottom/>
      </border>
    </dxf>
    <dxf>
      <border>
        <top style="double">
          <color rgb="FFF89646"/>
        </top>
      </border>
    </dxf>
    <dxf>
      <border diagonalUp="0" diagonalDown="0">
        <left/>
        <right/>
        <top/>
        <bottom style="thin">
          <color rgb="FFF89646"/>
        </bottom>
      </border>
    </dxf>
    <dxf>
      <font>
        <b/>
        <strike val="0"/>
        <outline val="0"/>
        <shadow val="0"/>
        <u val="none"/>
        <vertAlign val="baseline"/>
        <sz val="10"/>
        <name val="Calibri"/>
        <scheme val="minor"/>
      </font>
      <fill>
        <patternFill patternType="solid">
          <fgColor indexed="64"/>
          <bgColor rgb="FFF3F2F2"/>
        </patternFill>
      </fill>
      <border diagonalUp="0" diagonalDown="0">
        <left style="thin">
          <color rgb="FFF3F2F2"/>
        </left>
        <right style="thin">
          <color rgb="FFF3F2F2"/>
        </right>
        <vertical style="thin">
          <color rgb="FFF3F2F2"/>
        </vertical>
      </border>
    </dxf>
    <dxf>
      <font>
        <strike val="0"/>
        <outline val="0"/>
        <shadow val="0"/>
        <u val="none"/>
        <vertAlign val="baseline"/>
        <sz val="10"/>
        <name val="Calibri"/>
        <scheme val="minor"/>
      </font>
    </dxf>
    <dxf>
      <font>
        <strike val="0"/>
        <outline val="0"/>
        <shadow val="0"/>
        <u val="none"/>
        <vertAlign val="baseline"/>
        <sz val="10"/>
        <color auto="1"/>
        <name val="Calibri"/>
        <scheme val="minor"/>
      </font>
      <fill>
        <patternFill patternType="solid">
          <fgColor indexed="64"/>
          <bgColor rgb="FFF89646"/>
        </patternFill>
      </fill>
      <border diagonalUp="0" diagonalDown="0" outline="0">
        <left style="thin">
          <color rgb="FFF3F2F2"/>
        </left>
        <right style="thin">
          <color rgb="FFF3F2F2"/>
        </right>
      </border>
    </dxf>
    <dxf>
      <border diagonalUp="0" diagonalDown="0">
        <left style="thin">
          <color rgb="FFF3F2F2"/>
        </left>
        <right/>
        <vertical style="thin">
          <color rgb="FFF3F2F2"/>
        </vertical>
      </border>
    </dxf>
    <dxf>
      <font>
        <b/>
        <i val="0"/>
        <strike val="0"/>
        <condense val="0"/>
        <extend val="0"/>
        <outline val="0"/>
        <shadow val="0"/>
        <u val="none"/>
        <vertAlign val="baseline"/>
        <sz val="10"/>
        <color auto="1"/>
        <name val="Calibri"/>
        <family val="2"/>
        <scheme val="minor"/>
      </font>
      <numFmt numFmtId="169" formatCode="[Red]&quot;◄ Required&quot;;[Red]&quot;◄ Required&quot;;&quot;&quot;"/>
      <fill>
        <patternFill patternType="solid">
          <fgColor indexed="64"/>
          <bgColor rgb="FFF3F2F2"/>
        </patternFill>
      </fill>
      <alignment horizontal="left" vertical="center" textRotation="0" wrapText="0" indent="0" justifyLastLine="0" shrinkToFit="0" readingOrder="0"/>
      <border diagonalUp="0" diagonalDown="0" outline="0">
        <left style="thin">
          <color rgb="FFF3F2F2"/>
        </left>
        <right/>
        <top style="double">
          <color rgb="FFF89646"/>
        </top>
        <bottom/>
      </border>
    </dxf>
    <dxf>
      <font>
        <strike val="0"/>
        <outline val="0"/>
        <shadow val="0"/>
        <u val="none"/>
        <vertAlign val="baseline"/>
        <sz val="10"/>
        <name val="Calibri"/>
        <scheme val="minor"/>
      </font>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color auto="1"/>
        <name val="Calibri"/>
        <scheme val="minor"/>
      </font>
      <border diagonalUp="0" diagonalDown="0" outline="0">
        <left/>
        <right style="thin">
          <color rgb="FFF3F2F2"/>
        </right>
      </border>
    </dxf>
    <dxf>
      <font>
        <b/>
        <i val="0"/>
        <strike val="0"/>
        <condense val="0"/>
        <extend val="0"/>
        <outline val="0"/>
        <shadow val="0"/>
        <u val="none"/>
        <vertAlign val="baseline"/>
        <sz val="10"/>
        <color auto="1"/>
        <name val="Calibri"/>
        <family val="2"/>
        <scheme val="minor"/>
      </font>
      <numFmt numFmtId="169" formatCode="[Red]&quot;◄ Required&quot;;[Red]&quot;◄ Required&quot;;&quot;&quot;"/>
      <fill>
        <patternFill patternType="solid">
          <fgColor indexed="64"/>
          <bgColor rgb="FFF3F2F2"/>
        </patternFill>
      </fill>
      <alignment horizontal="left" vertical="center" textRotation="0" wrapText="0" indent="0" justifyLastLine="0" shrinkToFit="0" readingOrder="0"/>
      <border diagonalUp="0" diagonalDown="0" outline="0">
        <left/>
        <right style="thin">
          <color rgb="FFF3F2F2"/>
        </right>
        <top style="double">
          <color rgb="FFF89646"/>
        </top>
        <bottom/>
      </border>
    </dxf>
    <dxf>
      <border>
        <top style="double">
          <color rgb="FFF89646"/>
        </top>
      </border>
    </dxf>
    <dxf>
      <border diagonalUp="0" diagonalDown="0">
        <left/>
        <right/>
        <top/>
        <bottom style="thin">
          <color rgb="FFF89646"/>
        </bottom>
      </border>
    </dxf>
    <dxf>
      <font>
        <b/>
        <strike val="0"/>
        <outline val="0"/>
        <shadow val="0"/>
        <u val="none"/>
        <vertAlign val="baseline"/>
        <sz val="10"/>
        <name val="Calibri"/>
        <scheme val="minor"/>
      </font>
      <fill>
        <patternFill patternType="solid">
          <fgColor indexed="64"/>
          <bgColor rgb="FFF3F2F2"/>
        </patternFill>
      </fill>
      <border diagonalUp="0" diagonalDown="0">
        <left style="thin">
          <color rgb="FFF3F2F2"/>
        </left>
        <right style="thin">
          <color rgb="FFF3F2F2"/>
        </right>
        <vertical style="thin">
          <color rgb="FFF3F2F2"/>
        </vertical>
      </border>
    </dxf>
    <dxf>
      <font>
        <strike val="0"/>
        <outline val="0"/>
        <shadow val="0"/>
        <u val="none"/>
        <vertAlign val="baseline"/>
        <sz val="10"/>
        <name val="Calibri"/>
        <scheme val="minor"/>
      </font>
    </dxf>
    <dxf>
      <font>
        <strike val="0"/>
        <outline val="0"/>
        <shadow val="0"/>
        <u val="none"/>
        <vertAlign val="baseline"/>
        <sz val="10"/>
        <color auto="1"/>
        <name val="Calibri"/>
        <scheme val="minor"/>
      </font>
      <fill>
        <patternFill patternType="solid">
          <fgColor indexed="64"/>
          <bgColor rgb="FFF89646"/>
        </patternFill>
      </fill>
      <border diagonalUp="0" diagonalDown="0" outline="0">
        <left style="thin">
          <color rgb="FFF3F2F2"/>
        </left>
        <right style="thin">
          <color rgb="FFF3F2F2"/>
        </right>
      </border>
    </dxf>
    <dxf>
      <border diagonalUp="0" diagonalDown="0">
        <left style="thin">
          <color rgb="FFF3F2F2"/>
        </left>
        <right/>
        <vertical style="thin">
          <color rgb="FFF3F2F2"/>
        </vertical>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style="thin">
          <color rgb="FFF3F2F2"/>
        </left>
        <right/>
        <top style="double">
          <color rgb="FFF89646"/>
        </top>
        <bottom/>
      </border>
    </dxf>
    <dxf>
      <font>
        <strike val="0"/>
        <outline val="0"/>
        <shadow val="0"/>
        <u val="none"/>
        <vertAlign val="baseline"/>
        <sz val="10"/>
        <name val="Calibri"/>
        <scheme val="minor"/>
      </font>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color auto="1"/>
        <name val="Calibri"/>
        <scheme val="minor"/>
      </font>
      <border diagonalUp="0" diagonalDown="0" outline="0">
        <left/>
        <right style="thin">
          <color rgb="FFF3F2F2"/>
        </right>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right style="thin">
          <color rgb="FFF3F2F2"/>
        </right>
        <top style="double">
          <color rgb="FFF89646"/>
        </top>
        <bottom/>
      </border>
    </dxf>
    <dxf>
      <border>
        <top style="double">
          <color rgb="FFF89646"/>
        </top>
      </border>
    </dxf>
    <dxf>
      <border diagonalUp="0" diagonalDown="0">
        <left/>
        <right/>
        <top/>
        <bottom style="thin">
          <color rgb="FFF89646"/>
        </bottom>
      </border>
    </dxf>
    <dxf>
      <font>
        <b/>
        <strike val="0"/>
        <outline val="0"/>
        <shadow val="0"/>
        <u val="none"/>
        <vertAlign val="baseline"/>
        <sz val="10"/>
        <name val="Calibri"/>
        <scheme val="minor"/>
      </font>
      <fill>
        <patternFill patternType="solid">
          <fgColor indexed="64"/>
          <bgColor rgb="FFF3F2F2"/>
        </patternFill>
      </fill>
      <border diagonalUp="0" diagonalDown="0">
        <left style="thin">
          <color rgb="FFF3F2F2"/>
        </left>
        <right style="thin">
          <color rgb="FFF3F2F2"/>
        </right>
        <vertical style="thin">
          <color rgb="FFF3F2F2"/>
        </vertical>
      </border>
    </dxf>
    <dxf>
      <font>
        <strike val="0"/>
        <outline val="0"/>
        <shadow val="0"/>
        <u val="none"/>
        <vertAlign val="baseline"/>
        <sz val="10"/>
        <name val="Calibri"/>
        <scheme val="minor"/>
      </font>
    </dxf>
    <dxf>
      <font>
        <strike val="0"/>
        <outline val="0"/>
        <shadow val="0"/>
        <u val="none"/>
        <vertAlign val="baseline"/>
        <sz val="10"/>
        <color auto="1"/>
        <name val="Calibri"/>
        <scheme val="minor"/>
      </font>
      <fill>
        <patternFill patternType="solid">
          <fgColor indexed="64"/>
          <bgColor rgb="FFF89646"/>
        </patternFill>
      </fill>
      <border diagonalUp="0" diagonalDown="0">
        <left style="thin">
          <color rgb="FFF3F2F2"/>
        </left>
        <right style="thin">
          <color rgb="FFF3F2F2"/>
        </right>
        <vertical style="thin">
          <color rgb="FFF3F2F2"/>
        </vertical>
      </border>
    </dxf>
    <dxf>
      <font>
        <strike val="0"/>
        <outline val="0"/>
        <shadow val="0"/>
        <u val="none"/>
        <vertAlign val="baseline"/>
        <sz val="10"/>
        <name val="Calibri"/>
        <scheme val="minor"/>
      </font>
      <fill>
        <patternFill patternType="solid">
          <fgColor indexed="64"/>
          <bgColor rgb="FFFEFFCC"/>
        </patternFill>
      </fill>
      <border diagonalUp="0" diagonalDown="0">
        <left style="thin">
          <color rgb="FFF3F2F2"/>
        </left>
        <right/>
        <vertical style="thin">
          <color rgb="FFF3F2F2"/>
        </vertical>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style="thin">
          <color rgb="FFF3F2F2"/>
        </left>
        <right/>
        <top style="double">
          <color rgb="FFF89646"/>
        </top>
        <bottom/>
      </border>
    </dxf>
    <dxf>
      <font>
        <strike val="0"/>
        <outline val="0"/>
        <shadow val="0"/>
        <u val="none"/>
        <vertAlign val="baseline"/>
        <sz val="10"/>
        <name val="Calibri"/>
        <scheme val="minor"/>
      </font>
      <numFmt numFmtId="172" formatCode="&quot;$&quot;#,##0;[Red]\-&quot;$&quot;#,##0;&quot;-&quot;"/>
      <alignment horizontal="center" vertical="bottom" textRotation="0" wrapText="0" indent="0" justifyLastLine="0" shrinkToFit="0" readingOrder="0"/>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numFmt numFmtId="172" formatCode="&quot;$&quot;#,##0;[Red]\-&quot;$&quot;#,##0;&quot;-&quot;"/>
      <alignment horizontal="center" vertical="bottom" textRotation="0" wrapText="0" indent="0" justifyLastLine="0" shrinkToFit="0" readingOrder="0"/>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numFmt numFmtId="172" formatCode="&quot;$&quot;#,##0;[Red]\-&quot;$&quot;#,##0;&quot;-&quot;"/>
      <alignment horizontal="center" vertical="bottom" textRotation="0" wrapText="0" indent="0" justifyLastLine="0" shrinkToFit="0" readingOrder="0"/>
      <border diagonalUp="0" diagonalDown="0">
        <left style="thin">
          <color rgb="FFF3F2F2"/>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bottom"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border diagonalUp="0" diagonalDown="0">
        <left/>
        <right style="thin">
          <color rgb="FFF3F2F2"/>
        </right>
        <vertical style="thin">
          <color rgb="FFF3F2F2"/>
        </vertical>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right style="thin">
          <color rgb="FFF3F2F2"/>
        </right>
        <top style="double">
          <color rgb="FFF89646"/>
        </top>
        <bottom/>
      </border>
    </dxf>
    <dxf>
      <border>
        <top style="double">
          <color rgb="FFF89646"/>
        </top>
      </border>
    </dxf>
    <dxf>
      <border diagonalUp="0" diagonalDown="0">
        <left/>
        <right/>
        <top/>
        <bottom style="thin">
          <color rgb="FFF89646"/>
        </bottom>
      </border>
    </dxf>
    <dxf>
      <font>
        <b/>
        <strike val="0"/>
        <outline val="0"/>
        <shadow val="0"/>
        <u val="none"/>
        <vertAlign val="baseline"/>
        <sz val="10"/>
        <name val="Calibri"/>
        <scheme val="minor"/>
      </font>
      <fill>
        <patternFill patternType="solid">
          <fgColor indexed="64"/>
          <bgColor rgb="FFF3F2F2"/>
        </patternFill>
      </fill>
      <border diagonalUp="0" diagonalDown="0">
        <left style="thin">
          <color rgb="FFF3F2F2"/>
        </left>
        <right style="thin">
          <color rgb="FFF3F2F2"/>
        </right>
        <vertical style="thin">
          <color rgb="FFF3F2F2"/>
        </vertical>
      </border>
    </dxf>
    <dxf>
      <font>
        <strike val="0"/>
        <outline val="0"/>
        <shadow val="0"/>
        <u val="none"/>
        <vertAlign val="baseline"/>
        <sz val="10"/>
        <name val="Calibri"/>
        <scheme val="minor"/>
      </font>
    </dxf>
    <dxf>
      <font>
        <strike val="0"/>
        <outline val="0"/>
        <shadow val="0"/>
        <u val="none"/>
        <vertAlign val="baseline"/>
        <sz val="10"/>
        <color auto="1"/>
        <name val="Calibri"/>
        <scheme val="minor"/>
      </font>
      <fill>
        <patternFill patternType="solid">
          <fgColor indexed="64"/>
          <bgColor rgb="FFF89646"/>
        </patternFill>
      </fill>
      <border diagonalUp="0" diagonalDown="0">
        <left style="thin">
          <color rgb="FFF3F2F2"/>
        </left>
        <right style="thin">
          <color rgb="FFF3F2F2"/>
        </right>
        <vertical style="thin">
          <color rgb="FFF3F2F2"/>
        </vertical>
      </border>
    </dxf>
    <dxf>
      <font>
        <strike val="0"/>
        <outline val="0"/>
        <shadow val="0"/>
        <u val="none"/>
        <vertAlign val="baseline"/>
        <sz val="10"/>
        <name val="Calibri"/>
        <scheme val="minor"/>
      </font>
      <fill>
        <patternFill>
          <fgColor indexed="64"/>
          <bgColor rgb="FFFEFFCC"/>
        </patternFill>
      </fill>
      <border diagonalUp="0" diagonalDown="0" outline="0">
        <left style="thin">
          <color rgb="FFF3F2F2"/>
        </left>
        <right/>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style="thin">
          <color rgb="FFF3F2F2"/>
        </left>
        <right/>
        <top style="double">
          <color rgb="FFF89646"/>
        </top>
        <bottom/>
      </border>
    </dxf>
    <dxf>
      <font>
        <strike val="0"/>
        <outline val="0"/>
        <shadow val="0"/>
        <u val="none"/>
        <vertAlign val="baseline"/>
        <sz val="10"/>
        <name val="Calibri"/>
        <scheme val="minor"/>
      </font>
      <numFmt numFmtId="172" formatCode="&quot;$&quot;#,##0;[Red]\-&quot;$&quot;#,##0;&quot;-&quot;"/>
      <alignment horizontal="center" vertical="center" textRotation="0" wrapText="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numFmt numFmtId="172" formatCode="&quot;$&quot;#,##0;[Red]\-&quot;$&quot;#,##0;&quot;-&quot;"/>
      <alignment horizontal="center" vertical="center" textRotation="0" wrapText="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numFmt numFmtId="172" formatCode="&quot;$&quot;#,##0;[Red]\-&quot;$&quot;#,##0;&quot;-&quot;"/>
      <alignment horizontal="center" vertical="center" textRotation="0" wrapText="0" indent="0" justifyLastLine="0" shrinkToFit="0" readingOrder="0"/>
      <border diagonalUp="0" diagonalDown="0" outline="0">
        <left style="thin">
          <color rgb="FFF3F2F2"/>
        </left>
        <right style="thin">
          <color rgb="FFF3F2F2"/>
        </right>
      </border>
    </dxf>
    <dxf>
      <font>
        <b/>
        <i val="0"/>
        <strike val="0"/>
        <condense val="0"/>
        <extend val="0"/>
        <outline val="0"/>
        <shadow val="0"/>
        <u val="none"/>
        <vertAlign val="baseline"/>
        <sz val="10"/>
        <color auto="1"/>
        <name val="Calibri"/>
        <family val="2"/>
        <scheme val="minor"/>
      </font>
      <numFmt numFmtId="172" formatCode="&quot;$&quot;#,##0;[Red]\-&quot;$&quot;#,##0;&quot;-&quot;"/>
      <fill>
        <patternFill patternType="solid">
          <fgColor indexed="64"/>
          <bgColor rgb="FFF3F2F2"/>
        </patternFill>
      </fill>
      <alignment horizontal="center" vertical="center" textRotation="0" wrapText="0" indent="0" justifyLastLine="0" shrinkToFit="0" readingOrder="0"/>
      <border diagonalUp="0" diagonalDown="0" outline="0">
        <left style="thin">
          <color rgb="FFF3F2F2"/>
        </left>
        <right style="thin">
          <color rgb="FFF3F2F2"/>
        </right>
        <top style="double">
          <color rgb="FFF89646"/>
        </top>
        <bottom/>
      </border>
    </dxf>
    <dxf>
      <font>
        <strike val="0"/>
        <outline val="0"/>
        <shadow val="0"/>
        <u val="none"/>
        <vertAlign val="baseline"/>
        <sz val="10"/>
        <name val="Calibri"/>
        <scheme val="minor"/>
      </font>
      <border diagonalUp="0" diagonalDown="0" outline="0">
        <left/>
        <right style="thin">
          <color rgb="FFF3F2F2"/>
        </right>
      </border>
    </dxf>
    <dxf>
      <font>
        <b/>
        <i val="0"/>
        <strike val="0"/>
        <condense val="0"/>
        <extend val="0"/>
        <outline val="0"/>
        <shadow val="0"/>
        <u val="none"/>
        <vertAlign val="baseline"/>
        <sz val="10"/>
        <color auto="1"/>
        <name val="Calibri"/>
        <family val="2"/>
        <scheme val="minor"/>
      </font>
      <fill>
        <patternFill patternType="solid">
          <fgColor indexed="64"/>
          <bgColor rgb="FFF3F2F2"/>
        </patternFill>
      </fill>
      <border diagonalUp="0" diagonalDown="0" outline="0">
        <left/>
        <right style="thin">
          <color rgb="FFF3F2F2"/>
        </right>
        <top style="double">
          <color rgb="FFF89646"/>
        </top>
        <bottom/>
      </border>
    </dxf>
    <dxf>
      <border>
        <top style="double">
          <color rgb="FFF89646"/>
        </top>
      </border>
    </dxf>
    <dxf>
      <border diagonalUp="0" diagonalDown="0">
        <left/>
        <right/>
        <top/>
        <bottom style="thin">
          <color rgb="FFF89646"/>
        </bottom>
      </border>
    </dxf>
    <dxf>
      <font>
        <b/>
        <strike val="0"/>
        <outline val="0"/>
        <shadow val="0"/>
        <u val="none"/>
        <vertAlign val="baseline"/>
        <sz val="10"/>
        <name val="Calibri"/>
        <scheme val="minor"/>
      </font>
      <fill>
        <patternFill patternType="solid">
          <fgColor indexed="64"/>
          <bgColor rgb="FFF3F2F2"/>
        </patternFill>
      </fill>
      <border diagonalUp="0" diagonalDown="0" outline="0">
        <left style="thin">
          <color rgb="FFF3F2F2"/>
        </left>
        <right style="thin">
          <color rgb="FFF3F2F2"/>
        </right>
      </border>
    </dxf>
    <dxf>
      <font>
        <strike val="0"/>
        <outline val="0"/>
        <shadow val="0"/>
        <u val="none"/>
        <vertAlign val="baseline"/>
        <sz val="10"/>
        <name val="Calibri"/>
        <scheme val="minor"/>
      </font>
    </dxf>
    <dxf>
      <font>
        <b val="0"/>
        <strike val="0"/>
        <outline val="0"/>
        <shadow val="0"/>
        <u val="none"/>
        <vertAlign val="baseline"/>
        <sz val="10"/>
        <color auto="1"/>
        <name val="Calibri"/>
        <scheme val="minor"/>
      </font>
      <fill>
        <patternFill patternType="solid">
          <fgColor indexed="64"/>
          <bgColor rgb="FFF89646"/>
        </patternFill>
      </fill>
      <border diagonalUp="0" diagonalDown="0" outline="0">
        <left style="thin">
          <color rgb="FFF3F2F2"/>
        </left>
        <right style="thin">
          <color rgb="FFF3F2F2"/>
        </right>
      </border>
    </dxf>
    <dxf>
      <font>
        <b val="0"/>
        <i val="0"/>
        <strike val="0"/>
        <condense val="0"/>
        <extend val="0"/>
        <outline val="0"/>
        <shadow val="0"/>
        <u val="none"/>
        <vertAlign val="baseline"/>
        <sz val="7"/>
        <color rgb="FF969696"/>
        <name val="Calibri"/>
        <family val="2"/>
        <scheme val="none"/>
      </font>
      <numFmt numFmtId="166" formatCode="[Red]&quot;◄ Error&quot;;[Red]&quot;◄ Error&quot;;&quot;◄ [OK]&quot;"/>
      <alignment horizontal="left" vertical="center" textRotation="0" wrapText="0" indent="0" justifyLastLine="0" shrinkToFit="0" readingOrder="0"/>
    </dxf>
    <dxf>
      <font>
        <strike val="0"/>
        <outline val="0"/>
        <shadow val="0"/>
        <u val="none"/>
        <vertAlign val="baseline"/>
        <sz val="10"/>
        <name val="Calibri"/>
      </font>
      <numFmt numFmtId="172" formatCode="&quot;$&quot;#,##0;[Red]\-&quot;$&quot;#,##0;&quot;-&quot;"/>
      <alignment horizontal="center" textRotation="0" wrapText="0" indent="0" justifyLastLine="0" shrinkToFit="0" readingOrder="0"/>
      <border diagonalUp="0" diagonalDown="0" outline="0">
        <left style="thin">
          <color rgb="FFF3F2F2"/>
        </left>
        <right/>
        <top/>
        <bottom/>
      </border>
    </dxf>
    <dxf>
      <font>
        <b val="0"/>
        <i val="0"/>
        <strike val="0"/>
        <condense val="0"/>
        <extend val="0"/>
        <outline val="0"/>
        <shadow val="0"/>
        <u val="none"/>
        <vertAlign val="baseline"/>
        <sz val="10"/>
        <color auto="1"/>
        <name val="Calibri"/>
        <family val="2"/>
        <scheme val="minor"/>
      </font>
      <numFmt numFmtId="172" formatCode="&quot;$&quot;#,##0;[Red]\-&quot;$&quot;#,##0;&quot;-&quot;"/>
      <alignment horizontal="center" vertical="center" textRotation="0" wrapText="0" indent="0" justifyLastLine="0" shrinkToFit="0" readingOrder="0"/>
      <border diagonalUp="0" diagonalDown="0" outline="0">
        <left/>
        <right/>
        <top style="thin">
          <color rgb="FFF89646"/>
        </top>
        <bottom style="double">
          <color rgb="FFF89646"/>
        </bottom>
      </border>
    </dxf>
    <dxf>
      <font>
        <strike val="0"/>
        <outline val="0"/>
        <shadow val="0"/>
        <u val="none"/>
        <vertAlign val="baseline"/>
        <sz val="10"/>
        <name val="Calibri"/>
      </font>
      <numFmt numFmtId="172" formatCode="&quot;$&quot;#,##0;[Red]\-&quot;$&quot;#,##0;&quot;-&quot;"/>
      <alignment horizontal="center" textRotation="0" wrapText="0" indent="0" justifyLastLine="0" shrinkToFit="0" readingOrder="0"/>
      <border diagonalUp="0" diagonalDown="0" outline="0">
        <left style="thin">
          <color rgb="FFF3F2F2"/>
        </left>
        <right style="thin">
          <color rgb="FFF3F2F2"/>
        </right>
        <top/>
        <bottom/>
      </border>
    </dxf>
    <dxf>
      <font>
        <b val="0"/>
        <i val="0"/>
        <strike val="0"/>
        <condense val="0"/>
        <extend val="0"/>
        <outline val="0"/>
        <shadow val="0"/>
        <u val="none"/>
        <vertAlign val="baseline"/>
        <sz val="10"/>
        <color theme="1"/>
        <name val="Calibri"/>
        <family val="2"/>
        <scheme val="minor"/>
      </font>
      <border diagonalUp="0" diagonalDown="0" outline="0">
        <left/>
        <right/>
        <top style="thin">
          <color rgb="FFF89646"/>
        </top>
        <bottom style="double">
          <color rgb="FFF89646"/>
        </bottom>
      </border>
    </dxf>
    <dxf>
      <font>
        <strike val="0"/>
        <outline val="0"/>
        <shadow val="0"/>
        <u val="none"/>
        <vertAlign val="baseline"/>
        <sz val="10"/>
        <name val="Calibri"/>
      </font>
      <alignment horizontal="center" textRotation="0" wrapText="0" indent="0" justifyLastLine="0" shrinkToFit="0" readingOrder="0"/>
      <border diagonalUp="0" diagonalDown="0" outline="0">
        <left style="thin">
          <color rgb="FFF3F2F2"/>
        </left>
        <right style="thin">
          <color rgb="FFF3F2F2"/>
        </right>
        <top/>
        <bottom/>
      </border>
    </dxf>
    <dxf>
      <font>
        <b val="0"/>
        <i val="0"/>
        <strike val="0"/>
        <condense val="0"/>
        <extend val="0"/>
        <outline val="0"/>
        <shadow val="0"/>
        <u val="none"/>
        <vertAlign val="baseline"/>
        <sz val="10"/>
        <color theme="1"/>
        <name val="Calibri"/>
        <family val="2"/>
        <scheme val="minor"/>
      </font>
      <numFmt numFmtId="171" formatCode="#,##0_ ;[Red]\-#,##0;&quot;-&quot;"/>
      <alignment horizontal="center" vertical="bottom" textRotation="0" wrapText="0" indent="0" justifyLastLine="0" shrinkToFit="0" readingOrder="0"/>
      <border diagonalUp="0" diagonalDown="0" outline="0">
        <left/>
        <right/>
        <top style="thin">
          <color rgb="FFF89646"/>
        </top>
        <bottom style="double">
          <color rgb="FFF89646"/>
        </bottom>
      </border>
    </dxf>
    <dxf>
      <alignment horizontal="center" vertical="bottom" textRotation="0" wrapText="0" indent="0" justifyLastLine="0" shrinkToFit="0" readingOrder="0"/>
      <border diagonalUp="0" diagonalDown="0" outline="0">
        <left style="thin">
          <color rgb="FFF3F2F2"/>
        </left>
        <right style="thin">
          <color rgb="FFF3F2F2"/>
        </right>
        <top/>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right/>
        <top style="thin">
          <color rgb="FFF89646"/>
        </top>
        <bottom style="double">
          <color rgb="FFF89646"/>
        </bottom>
      </border>
    </dxf>
    <dxf>
      <alignment horizontal="center" vertical="bottom" textRotation="0" wrapText="0" indent="0" justifyLastLine="0" shrinkToFit="0" readingOrder="0"/>
      <border diagonalUp="0" diagonalDown="0" outline="0">
        <left style="thin">
          <color rgb="FFF3F2F2"/>
        </left>
        <right style="thin">
          <color rgb="FFF3F2F2"/>
        </right>
        <top/>
        <bottom/>
      </border>
    </dxf>
    <dxf>
      <font>
        <b val="0"/>
        <i val="0"/>
        <strike val="0"/>
        <condense val="0"/>
        <extend val="0"/>
        <outline val="0"/>
        <shadow val="0"/>
        <u val="none"/>
        <vertAlign val="baseline"/>
        <sz val="10"/>
        <color theme="1"/>
        <name val="Calibri"/>
        <family val="2"/>
        <scheme val="minor"/>
      </font>
      <numFmt numFmtId="171" formatCode="#,##0_ ;[Red]\-#,##0;&quot;-&quot;"/>
      <alignment horizontal="center" vertical="bottom" textRotation="0" wrapText="0" indent="0" justifyLastLine="0" shrinkToFit="0" readingOrder="0"/>
      <border diagonalUp="0" diagonalDown="0" outline="0">
        <left/>
        <right/>
        <top style="thin">
          <color rgb="FFF89646"/>
        </top>
        <bottom style="double">
          <color rgb="FFF89646"/>
        </bottom>
      </border>
    </dxf>
    <dxf>
      <border diagonalUp="0" diagonalDown="0" outline="0">
        <left/>
        <right style="thin">
          <color rgb="FFF3F2F2"/>
        </right>
        <top/>
        <bottom/>
      </border>
    </dxf>
    <dxf>
      <font>
        <b val="0"/>
        <i val="0"/>
        <strike val="0"/>
        <condense val="0"/>
        <extend val="0"/>
        <outline val="0"/>
        <shadow val="0"/>
        <u val="none"/>
        <vertAlign val="baseline"/>
        <sz val="10"/>
        <color auto="1"/>
        <name val="Calibri"/>
        <family val="2"/>
        <scheme val="minor"/>
      </font>
      <border diagonalUp="0" diagonalDown="0" outline="0">
        <left/>
        <right/>
        <top style="thin">
          <color rgb="FFF89646"/>
        </top>
        <bottom style="double">
          <color rgb="FFF89646"/>
        </bottom>
      </border>
    </dxf>
    <dxf>
      <border diagonalUp="0" diagonalDown="0">
        <left/>
        <right/>
        <top/>
        <bottom/>
      </border>
    </dxf>
    <dxf>
      <font>
        <strike val="0"/>
        <outline val="0"/>
        <shadow val="0"/>
        <u val="none"/>
        <vertAlign val="baseline"/>
        <sz val="10"/>
        <name val="Calibri"/>
      </font>
      <fill>
        <patternFill patternType="none">
          <fgColor indexed="64"/>
          <bgColor auto="1"/>
        </patternFill>
      </fill>
      <border diagonalUp="0" diagonalDown="0" outline="0">
        <left style="thin">
          <color rgb="FFF3F2F2"/>
        </left>
        <right style="thin">
          <color rgb="FFF3F2F2"/>
        </right>
        <top/>
        <bottom/>
      </border>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solid">
          <fgColor indexed="64"/>
          <bgColor rgb="FFF89646"/>
        </patternFill>
      </fill>
      <alignment horizontal="center" vertical="center" textRotation="0" wrapText="1" indent="0" justifyLastLine="0" shrinkToFit="0" readingOrder="0"/>
      <border diagonalUp="0" diagonalDown="0" outline="0">
        <left style="thin">
          <color rgb="FFF3F2F2"/>
        </left>
        <right style="thin">
          <color rgb="FFF3F2F2"/>
        </right>
        <top/>
        <bottom/>
      </border>
    </dxf>
  </dxfs>
  <tableStyles count="0" defaultTableStyle="TableStyleMedium2" defaultPivotStyle="PivotStyleLight16"/>
  <colors>
    <mruColors>
      <color rgb="FF5181BD"/>
      <color rgb="FFFEFFCC"/>
      <color rgb="FFF3F2F2"/>
      <color rgb="FFF89646"/>
      <color rgb="FFC0BFBF"/>
      <color rgb="FFA8BFDE"/>
      <color rgb="FFC1504D"/>
      <color rgb="FF9CBB59"/>
      <color rgb="FFFFCD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LandValue" displayName="Tbl_LandValue" ref="C30:I46" totalsRowCount="1" headerRowDxfId="177" dataDxfId="176" totalsRowDxfId="175" tableBorderDxfId="174">
  <autoFilter ref="C30:I45"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Site Description" totalsRowLabel="Total Sites" dataDxfId="172" totalsRowDxfId="173" dataCellStyle="User_Input"/>
    <tableColumn id="2" xr3:uid="{00000000-0010-0000-0000-000002000000}" name="Interment Sites" totalsRowFunction="sum" dataDxfId="170" totalsRowDxfId="171" dataCellStyle="User_Input"/>
    <tableColumn id="3" xr3:uid="{00000000-0010-0000-0000-000003000000}" name="Adjustment Factor" dataDxfId="168" totalsRowDxfId="169" dataCellStyle="User_Input"/>
    <tableColumn id="4" xr3:uid="{00000000-0010-0000-0000-000004000000}" name="Adjusted Site" totalsRowFunction="sum" dataDxfId="166" totalsRowDxfId="167" dataCellStyle="Number">
      <calculatedColumnFormula>IFERROR(Tbl_LandValue[[#This Row],[Interment Sites]]/Tbl_LandValue[[#This Row],[Adjustment Factor]],0)</calculatedColumnFormula>
    </tableColumn>
    <tableColumn id="5" xr3:uid="{00000000-0010-0000-0000-000005000000}" name="Site Land Value" dataDxfId="164" totalsRowDxfId="165" dataCellStyle="Currency Bold">
      <calculatedColumnFormula>IFERROR($D$24/Tbl_LandValue[[#Totals],[Adjusted Site]]/Tbl_LandValue[[#This Row],[Adjustment Factor]],0)</calculatedColumnFormula>
    </tableColumn>
    <tableColumn id="6" xr3:uid="{00000000-0010-0000-0000-000006000000}" name="Land Value" totalsRowFunction="sum" dataDxfId="162" totalsRowDxfId="163" dataCellStyle="Currency Bold">
      <calculatedColumnFormula>Tbl_LandValue[[#This Row],[Interment Sites]]*Tbl_LandValue[[#This Row],[Site Land Value]]</calculatedColumnFormula>
    </tableColumn>
    <tableColumn id="7" xr3:uid="{00000000-0010-0000-0000-000007000000}" name=" " totalsRowFunction="custom" totalsRowDxfId="161">
      <totalsRowFormula>D24-Tbl_LandValue[[#Totals],[Land Value]]</totalsRow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bl_Capital" displayName="Tbl_Capital" ref="B15:L65" totalsRowCount="1" headerRowDxfId="25" dataDxfId="24" totalsRowDxfId="23" tableBorderDxfId="22" headerRowCellStyle="Normal" dataCellStyle="Normal">
  <autoFilter ref="B15:L64"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900-000001000000}" name="Plant and Equipment" totalsRowLabel="Total" dataDxfId="20" totalsRowDxfId="21" dataCellStyle="User_Input"/>
    <tableColumn id="2" xr3:uid="{00000000-0010-0000-0900-000002000000}" name="Replacement Cost" totalsRowFunction="sum" dataDxfId="18" totalsRowDxfId="19" dataCellStyle="User_Input"/>
    <tableColumn id="3" xr3:uid="{00000000-0010-0000-0900-000003000000}" name="Useful Life_x000a_Yrs." dataDxfId="16" totalsRowDxfId="17" dataCellStyle="User_Input"/>
    <tableColumn id="4" xr3:uid="{00000000-0010-0000-0900-000004000000}" name="Sale Price" dataDxfId="14" totalsRowDxfId="15" dataCellStyle="User_Input"/>
    <tableColumn id="11" xr3:uid="{00000000-0010-0000-0900-00000B000000}" name="Capital Allocation" totalsRowFunction="sum" dataDxfId="12" totalsRowDxfId="13" dataCellStyle="Normal">
      <calculatedColumnFormula>IF(Tbl_Capital[[#This Row],[Useful Life
Yrs.]]=0,0,(Tbl_Capital[[#This Row],[Replacement Cost]]-Tbl_Capital[[#This Row],[Sale Price]])/Tbl_Capital[[#This Row],[Useful Life
Yrs.]])</calculatedColumnFormula>
    </tableColumn>
    <tableColumn id="5" xr3:uid="{00000000-0010-0000-0900-000005000000}" name="Interments" totalsRowFunction="custom" dataDxfId="10" totalsRowDxfId="11" dataCellStyle="User_Input">
      <totalsRowFormula>SUMPRODUCT(Tbl_Capital[Capital Allocation],Tbl_Capital[Interments])</totalsRowFormula>
    </tableColumn>
    <tableColumn id="6" xr3:uid="{00000000-0010-0000-0900-000006000000}" name="Ground Maintenance" totalsRowFunction="custom" dataDxfId="8" totalsRowDxfId="9" dataCellStyle="User_Input">
      <totalsRowFormula>SUMPRODUCT(Tbl_Capital[Capital Allocation],Tbl_Capital[Ground Maintenance])</totalsRowFormula>
    </tableColumn>
    <tableColumn id="7" xr3:uid="{00000000-0010-0000-0900-000007000000}" name="Cremations" totalsRowFunction="custom" dataDxfId="6" totalsRowDxfId="7" dataCellStyle="User_Input">
      <totalsRowFormula>SUMPRODUCT(Tbl_Capital[Capital Allocation],Tbl_Capital[Cremations])</totalsRowFormula>
    </tableColumn>
    <tableColumn id="8" xr3:uid="{00000000-0010-0000-0900-000008000000}" name="Other Services" totalsRowFunction="custom" dataDxfId="4" totalsRowDxfId="5" dataCellStyle="User_Input">
      <totalsRowFormula>SUMPRODUCT(Tbl_Capital[Capital Allocation],Tbl_Capital[Other Services])</totalsRowFormula>
    </tableColumn>
    <tableColumn id="9" xr3:uid="{00000000-0010-0000-0900-000009000000}" name="Administration" totalsRowFunction="custom" dataDxfId="2" totalsRowDxfId="3" dataCellStyle="User_Input">
      <totalsRowFormula>SUMPRODUCT(Tbl_Capital[Capital Allocation],Tbl_Capital[Administration])</totalsRowFormula>
    </tableColumn>
    <tableColumn id="10" xr3:uid="{00000000-0010-0000-0900-00000A000000}" name="Check" totalsRowFunction="custom" dataDxfId="0" totalsRowDxfId="1" dataCellStyle="Check Left" totalsRowCellStyle="Check Left">
      <calculatedColumnFormula>IF(Tbl_Capital[[#This Row],[Capital Allocation]]=0,0,SUM(Tbl_Capital[[#This Row],[Interments]:[Administration]])-1)</calculatedColumnFormula>
      <totalsRowFormula>Tbl_Capital[[#Totals],[Capital Allocation]]-SUM(Tbl_Capital[[#Totals],[Interments]:[Administration]])</totalsRow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bl_SalariesWages" displayName="Tbl_SalariesWages" ref="B16:F22" totalsRowCount="1" headerRowDxfId="160" dataDxfId="159" totalsRowDxfId="158" tableBorderDxfId="157" totalsRowBorderDxfId="156" headerRowCellStyle="Normal 2" dataCellStyle="Normal 2" totalsRowCellStyle="Normal 2">
  <autoFilter ref="B16:F21" xr:uid="{00000000-0009-0000-0100-000003000000}">
    <filterColumn colId="0" hiddenButton="1"/>
    <filterColumn colId="1" hiddenButton="1"/>
    <filterColumn colId="2" hiddenButton="1"/>
    <filterColumn colId="3" hiddenButton="1"/>
    <filterColumn colId="4" hiddenButton="1"/>
  </autoFilter>
  <sortState xmlns:xlrd2="http://schemas.microsoft.com/office/spreadsheetml/2017/richdata2" ref="B5:F9">
    <sortCondition ref="B6"/>
  </sortState>
  <tableColumns count="5">
    <tableColumn id="1" xr3:uid="{00000000-0010-0000-0100-000001000000}" name="Cemetery Services" totalsRowLabel="Total" dataDxfId="154" totalsRowDxfId="155" dataCellStyle="Normal 2"/>
    <tableColumn id="3" xr3:uid="{00000000-0010-0000-0100-000003000000}" name="12 Month Total" totalsRowFunction="sum" dataDxfId="152" totalsRowDxfId="153" dataCellStyle="User_Input"/>
    <tableColumn id="4" xr3:uid="{00000000-0010-0000-0100-000004000000}" name="Adjustments" totalsRowFunction="sum" dataDxfId="150" totalsRowDxfId="151" dataCellStyle="User_Input"/>
    <tableColumn id="5" xr3:uid="{00000000-0010-0000-0100-000005000000}" name="Normalised" totalsRowFunction="sum" dataDxfId="148" totalsRowDxfId="149" dataCellStyle="Normal 2">
      <calculatedColumnFormula>Tbl_SalariesWages[[#This Row],[12 Month Total]]+Tbl_SalariesWages[[#This Row],[Adjustments]]</calculatedColumnFormula>
    </tableColumn>
    <tableColumn id="12" xr3:uid="{00000000-0010-0000-0100-00000C000000}" name="Instructions" dataDxfId="146" totalsRowDxfId="147" dataCellStyle="Normal 2"/>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bl_OnCosts" displayName="Tbl_OnCosts" ref="B8:F20" totalsRowCount="1" headerRowDxfId="145" dataDxfId="144" totalsRowDxfId="143" tableBorderDxfId="142" totalsRowBorderDxfId="141" headerRowCellStyle="Normal 2" dataCellStyle="Normal 2" totalsRowCellStyle="Normal 2">
  <autoFilter ref="B8:F19" xr:uid="{00000000-0009-0000-0100-000004000000}">
    <filterColumn colId="0" hiddenButton="1"/>
    <filterColumn colId="1" hiddenButton="1"/>
    <filterColumn colId="2" hiddenButton="1"/>
    <filterColumn colId="3" hiddenButton="1"/>
    <filterColumn colId="4" hiddenButton="1"/>
  </autoFilter>
  <sortState xmlns:xlrd2="http://schemas.microsoft.com/office/spreadsheetml/2017/richdata2" ref="B14:F24">
    <sortCondition ref="B16"/>
  </sortState>
  <tableColumns count="5">
    <tableColumn id="1" xr3:uid="{00000000-0010-0000-0200-000001000000}" name="Other Staff Costs" totalsRowLabel="Total" dataDxfId="139" totalsRowDxfId="140" dataCellStyle="Normal 2"/>
    <tableColumn id="3" xr3:uid="{00000000-0010-0000-0200-000003000000}" name="12 Month Total" totalsRowFunction="sum" dataDxfId="137" totalsRowDxfId="138" dataCellStyle="User_Input"/>
    <tableColumn id="4" xr3:uid="{00000000-0010-0000-0200-000004000000}" name="Adjustments" totalsRowFunction="sum" dataDxfId="135" totalsRowDxfId="136" dataCellStyle="User_Input"/>
    <tableColumn id="5" xr3:uid="{00000000-0010-0000-0200-000005000000}" name="Normalised" totalsRowFunction="sum" dataDxfId="133" totalsRowDxfId="134" dataCellStyle="Normal 2">
      <calculatedColumnFormula>Tbl_OnCosts[[#This Row],[12 Month Total]]+Tbl_OnCosts[[#This Row],[Adjustments]]</calculatedColumnFormula>
    </tableColumn>
    <tableColumn id="12" xr3:uid="{00000000-0010-0000-0200-00000C000000}" name="Notes" dataDxfId="131" totalsRowDxfId="132" dataCellStyle="Normal 2"/>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bl_GardenHort" displayName="Tbl_GardenHort" ref="B24:F35" totalsRowCount="1" headerRowDxfId="130" dataDxfId="129" totalsRowDxfId="128" tableBorderDxfId="127" totalsRowBorderDxfId="126" headerRowCellStyle="Normal 2" dataCellStyle="Normal 2" totalsRowCellStyle="Normal 2">
  <autoFilter ref="B24:F34" xr:uid="{00000000-0009-0000-0100-000006000000}">
    <filterColumn colId="0" hiddenButton="1"/>
    <filterColumn colId="1" hiddenButton="1"/>
    <filterColumn colId="2" hiddenButton="1"/>
    <filterColumn colId="3" hiddenButton="1"/>
    <filterColumn colId="4" hiddenButton="1"/>
  </autoFilter>
  <sortState xmlns:xlrd2="http://schemas.microsoft.com/office/spreadsheetml/2017/richdata2" ref="B29:F38">
    <sortCondition ref="B29"/>
  </sortState>
  <tableColumns count="5">
    <tableColumn id="1" xr3:uid="{00000000-0010-0000-0300-000001000000}" name="Gardening &amp; Horticultural" totalsRowLabel="Total" dataDxfId="124" totalsRowDxfId="125" dataCellStyle="Normal 2"/>
    <tableColumn id="3" xr3:uid="{00000000-0010-0000-0300-000003000000}" name="12 Month Total" totalsRowFunction="sum" dataDxfId="122" totalsRowDxfId="123" dataCellStyle="User_Input"/>
    <tableColumn id="4" xr3:uid="{00000000-0010-0000-0300-000004000000}" name="Adjustments" totalsRowFunction="sum" dataDxfId="120" totalsRowDxfId="121" dataCellStyle="User_Input"/>
    <tableColumn id="5" xr3:uid="{00000000-0010-0000-0300-000005000000}" name="Normalised" totalsRowFunction="sum" dataDxfId="118" totalsRowDxfId="119" dataCellStyle="Normal 2">
      <calculatedColumnFormula>Tbl_GardenHort[[#This Row],[12 Month Total]]+Tbl_GardenHort[[#This Row],[Adjustments]]</calculatedColumnFormula>
    </tableColumn>
    <tableColumn id="12" xr3:uid="{00000000-0010-0000-0300-00000C000000}" name="Notes" dataDxfId="116" totalsRowDxfId="117" dataCellStyle="Normal 2"/>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bl_Crem" displayName="Tbl_Crem" ref="B39:F45" totalsRowCount="1" headerRowDxfId="115" dataDxfId="114" totalsRowDxfId="113" tableBorderDxfId="112" totalsRowBorderDxfId="111" headerRowCellStyle="Normal 2" dataCellStyle="Normal 2" totalsRowCellStyle="Normal 2">
  <autoFilter ref="B39:F44" xr:uid="{00000000-0009-0000-0100-000007000000}">
    <filterColumn colId="0" hiddenButton="1"/>
    <filterColumn colId="1" hiddenButton="1"/>
    <filterColumn colId="2" hiddenButton="1"/>
    <filterColumn colId="3" hiddenButton="1"/>
    <filterColumn colId="4" hiddenButton="1"/>
  </autoFilter>
  <sortState xmlns:xlrd2="http://schemas.microsoft.com/office/spreadsheetml/2017/richdata2" ref="B43:F45">
    <sortCondition ref="B44"/>
  </sortState>
  <tableColumns count="5">
    <tableColumn id="1" xr3:uid="{00000000-0010-0000-0400-000001000000}" name="Cremation Costs" totalsRowLabel="Total" dataDxfId="109" totalsRowDxfId="110" dataCellStyle="Normal 2"/>
    <tableColumn id="3" xr3:uid="{00000000-0010-0000-0400-000003000000}" name="12 Month Total" totalsRowFunction="sum" dataDxfId="107" totalsRowDxfId="108" dataCellStyle="User_Input"/>
    <tableColumn id="4" xr3:uid="{00000000-0010-0000-0400-000004000000}" name="Adjustments" totalsRowFunction="sum" dataDxfId="105" totalsRowDxfId="106" dataCellStyle="User_Input"/>
    <tableColumn id="5" xr3:uid="{00000000-0010-0000-0400-000005000000}" name="Normalised" totalsRowFunction="sum" dataDxfId="103" totalsRowDxfId="104" dataCellStyle="Normal 2">
      <calculatedColumnFormula>Tbl_Crem[[#This Row],[12 Month Total]]+Tbl_Crem[[#This Row],[Adjustments]]</calculatedColumnFormula>
    </tableColumn>
    <tableColumn id="12" xr3:uid="{00000000-0010-0000-0400-00000C000000}" name="Notes" dataDxfId="101" totalsRowDxfId="102" dataCellStyle="Normal 2"/>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bl_PE_OPEX" displayName="Tbl_PE_OPEX" ref="B49:F55" totalsRowCount="1" headerRowDxfId="100" dataDxfId="99" totalsRowDxfId="98" tableBorderDxfId="97" totalsRowBorderDxfId="96" headerRowCellStyle="Normal 2" dataCellStyle="Normal 2" totalsRowCellStyle="Normal 2">
  <autoFilter ref="B49:F54" xr:uid="{00000000-0009-0000-0100-000008000000}">
    <filterColumn colId="0" hiddenButton="1"/>
    <filterColumn colId="1" hiddenButton="1"/>
    <filterColumn colId="2" hiddenButton="1"/>
    <filterColumn colId="3" hiddenButton="1"/>
    <filterColumn colId="4" hiddenButton="1"/>
  </autoFilter>
  <sortState xmlns:xlrd2="http://schemas.microsoft.com/office/spreadsheetml/2017/richdata2" ref="B50:F54">
    <sortCondition ref="B51"/>
  </sortState>
  <tableColumns count="5">
    <tableColumn id="1" xr3:uid="{00000000-0010-0000-0500-000001000000}" name="Plant and Equipment Expenses" totalsRowLabel="Total" dataDxfId="94" totalsRowDxfId="95" dataCellStyle="Normal 2"/>
    <tableColumn id="3" xr3:uid="{00000000-0010-0000-0500-000003000000}" name="12 Month Total" totalsRowFunction="sum" dataDxfId="92" totalsRowDxfId="93" dataCellStyle="User_Input"/>
    <tableColumn id="4" xr3:uid="{00000000-0010-0000-0500-000004000000}" name="Adjustments" totalsRowFunction="sum" dataDxfId="90" totalsRowDxfId="91" dataCellStyle="User_Input"/>
    <tableColumn id="5" xr3:uid="{00000000-0010-0000-0500-000005000000}" name="Normalised" totalsRowFunction="sum" dataDxfId="88" totalsRowDxfId="89" dataCellStyle="Normal 2">
      <calculatedColumnFormula>Tbl_PE_OPEX[[#This Row],[12 Month Total]]+Tbl_PE_OPEX[[#This Row],[Adjustments]]</calculatedColumnFormula>
    </tableColumn>
    <tableColumn id="12" xr3:uid="{00000000-0010-0000-0500-00000C000000}" name="Notes" dataDxfId="86" totalsRowDxfId="87" dataCellStyle="Normal 2"/>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bl_Admin" displayName="Tbl_Admin" ref="B59:F81" totalsRowCount="1" headerRowDxfId="85" dataDxfId="84" totalsRowDxfId="83" tableBorderDxfId="82" totalsRowBorderDxfId="81" headerRowCellStyle="Normal 2" dataCellStyle="Normal 2" totalsRowCellStyle="Normal 2">
  <autoFilter ref="B59:F80" xr:uid="{00000000-0009-0000-0100-00000A000000}">
    <filterColumn colId="0" hiddenButton="1"/>
    <filterColumn colId="1" hiddenButton="1"/>
    <filterColumn colId="2" hiddenButton="1"/>
    <filterColumn colId="3" hiddenButton="1"/>
    <filterColumn colId="4" hiddenButton="1"/>
  </autoFilter>
  <sortState xmlns:xlrd2="http://schemas.microsoft.com/office/spreadsheetml/2017/richdata2" ref="B59:F79">
    <sortCondition ref="B60"/>
  </sortState>
  <tableColumns count="5">
    <tableColumn id="1" xr3:uid="{00000000-0010-0000-0600-000001000000}" name="Administrative Costs" totalsRowLabel="Total" dataDxfId="79" totalsRowDxfId="80" dataCellStyle="Normal 2"/>
    <tableColumn id="3" xr3:uid="{00000000-0010-0000-0600-000003000000}" name="12 Month Total" totalsRowFunction="sum" dataDxfId="77" totalsRowDxfId="78" dataCellStyle="User_Input"/>
    <tableColumn id="4" xr3:uid="{00000000-0010-0000-0600-000004000000}" name="Adjustments" totalsRowFunction="sum" dataDxfId="75" totalsRowDxfId="76" dataCellStyle="User_Input"/>
    <tableColumn id="5" xr3:uid="{00000000-0010-0000-0600-000005000000}" name="Normalised" totalsRowFunction="sum" dataDxfId="73" totalsRowDxfId="74" dataCellStyle="Normal 2">
      <calculatedColumnFormula>Tbl_Admin[[#This Row],[12 Month Total]]+Tbl_Admin[[#This Row],[Adjustments]]</calculatedColumnFormula>
    </tableColumn>
    <tableColumn id="12" xr3:uid="{00000000-0010-0000-0600-00000C000000}" name="Notes" dataDxfId="71" totalsRowDxfId="72" dataCellStyle="Normal 2"/>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bl_Other_OPEX" displayName="Tbl_Other_OPEX" ref="B24:L38" totalsRowCount="1" headerRowDxfId="70" dataDxfId="69" totalsRowDxfId="68" tableBorderDxfId="67" headerRowCellStyle="Normal 2" dataCellStyle="Normal">
  <autoFilter ref="B24:L37"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sortState xmlns:xlrd2="http://schemas.microsoft.com/office/spreadsheetml/2017/richdata2" ref="B6:L16">
    <sortCondition ref="B9"/>
  </sortState>
  <tableColumns count="11">
    <tableColumn id="1" xr3:uid="{00000000-0010-0000-0700-000001000000}" name="Other Costs" totalsRowLabel="Total" dataDxfId="65" totalsRowDxfId="66" dataCellStyle="User_Input"/>
    <tableColumn id="3" xr3:uid="{00000000-0010-0000-0700-000003000000}" name="12 Month Total" totalsRowFunction="sum" dataDxfId="63" totalsRowDxfId="64" dataCellStyle="User_Input"/>
    <tableColumn id="4" xr3:uid="{00000000-0010-0000-0700-000004000000}" name="Adjustments" totalsRowFunction="sum" dataDxfId="61" totalsRowDxfId="62" dataCellStyle="User_Input"/>
    <tableColumn id="5" xr3:uid="{00000000-0010-0000-0700-000005000000}" name="Normalised" totalsRowFunction="sum" dataDxfId="59" totalsRowDxfId="60" dataCellStyle="Normal">
      <calculatedColumnFormula>Tbl_Other_OPEX[[#This Row],[12 Month Total]]+Tbl_Other_OPEX[[#This Row],[Adjustments]]</calculatedColumnFormula>
    </tableColumn>
    <tableColumn id="14" xr3:uid="{00000000-0010-0000-0700-00000E000000}" name="Interments" totalsRowFunction="sum" dataDxfId="57" totalsRowDxfId="58" dataCellStyle="User_Input"/>
    <tableColumn id="15" xr3:uid="{00000000-0010-0000-0700-00000F000000}" name="Ground Maintenance" totalsRowFunction="sum" dataDxfId="55" totalsRowDxfId="56" dataCellStyle="User_Input"/>
    <tableColumn id="16" xr3:uid="{00000000-0010-0000-0700-000010000000}" name="Cremations" totalsRowFunction="sum" dataDxfId="53" totalsRowDxfId="54" dataCellStyle="User_Input"/>
    <tableColumn id="18" xr3:uid="{00000000-0010-0000-0700-000012000000}" name="Other Services" totalsRowFunction="sum" dataDxfId="51" totalsRowDxfId="52" dataCellStyle="User_Input"/>
    <tableColumn id="17" xr3:uid="{00000000-0010-0000-0700-000011000000}" name="Administration" totalsRowFunction="sum" dataDxfId="49" totalsRowDxfId="50" dataCellStyle="User_Input"/>
    <tableColumn id="19" xr3:uid="{00000000-0010-0000-0700-000013000000}" name="Check" dataDxfId="47" totalsRowDxfId="48" dataCellStyle="Check Left">
      <calculatedColumnFormula>Tbl_Other_OPEX[[#This Row],[Normalised]]-SUM(Tbl_Other_OPEX[[#This Row],[Interments]:[Administration]])</calculatedColumnFormula>
    </tableColumn>
    <tableColumn id="12" xr3:uid="{00000000-0010-0000-0700-00000C000000}" name="Notes" dataDxfId="45" totalsRowDxfId="46" dataCellStyle="Normal"/>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BL_PassThroughCosts" displayName="TBL_PassThroughCosts" ref="B10:L19" totalsRowCount="1" headerRowDxfId="44" dataDxfId="43" totalsRowDxfId="42" totalsRowBorderDxfId="41" headerRowCellStyle="Normal 2" dataCellStyle="User_Input" totalsRowCellStyle="Currency Bold">
  <autoFilter ref="B10:L1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800-000001000000}" name="Pass Through Costs" totalsRowLabel="Total" totalsRowDxfId="40" dataCellStyle="User_Input"/>
    <tableColumn id="2" xr3:uid="{00000000-0010-0000-0800-000002000000}" name="12 Month Total" totalsRowFunction="sum" totalsRowDxfId="39" dataCellStyle="User_Input"/>
    <tableColumn id="3" xr3:uid="{00000000-0010-0000-0800-000003000000}" name="Adjustments" totalsRowFunction="sum" totalsRowDxfId="38" dataCellStyle="User_Input"/>
    <tableColumn id="4" xr3:uid="{00000000-0010-0000-0800-000004000000}" name="Normalised" dataDxfId="36" totalsRowDxfId="37">
      <calculatedColumnFormula>TBL_PassThroughCosts[[#This Row],[12 Month Total]]+TBL_PassThroughCosts[[#This Row],[Adjustments]]</calculatedColumnFormula>
    </tableColumn>
    <tableColumn id="5" xr3:uid="{00000000-0010-0000-0800-000005000000}" name="Interments" totalsRowFunction="sum" totalsRowDxfId="35" dataCellStyle="User_Input"/>
    <tableColumn id="6" xr3:uid="{00000000-0010-0000-0800-000006000000}" name="Ground Maintenance" totalsRowFunction="sum" totalsRowDxfId="34" dataCellStyle="User_Input"/>
    <tableColumn id="7" xr3:uid="{00000000-0010-0000-0800-000007000000}" name="Cremations" totalsRowFunction="sum" totalsRowDxfId="33" dataCellStyle="User_Input"/>
    <tableColumn id="8" xr3:uid="{00000000-0010-0000-0800-000008000000}" name="Other Services" totalsRowFunction="sum" totalsRowDxfId="32" dataCellStyle="User_Input"/>
    <tableColumn id="9" xr3:uid="{00000000-0010-0000-0800-000009000000}" name="Administration" totalsRowFunction="sum" dataDxfId="30" totalsRowDxfId="31" dataCellStyle="User_Input"/>
    <tableColumn id="10" xr3:uid="{00000000-0010-0000-0800-00000A000000}" name="Check" dataDxfId="28" totalsRowDxfId="29" dataCellStyle="Check Left">
      <calculatedColumnFormula>TBL_PassThroughCosts[[#This Row],[Normalised]]-SUM(TBL_PassThroughCosts[[#This Row],[Interments]:[Administration]])</calculatedColumnFormula>
    </tableColumn>
    <tableColumn id="11" xr3:uid="{00000000-0010-0000-0800-00000B000000}" name="Notes" totalsRowFunction="count" dataDxfId="26" totalsRowDxfId="27"/>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11.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5181BD"/>
  </sheetPr>
  <dimension ref="A1:C10"/>
  <sheetViews>
    <sheetView showGridLines="0" workbookViewId="0">
      <selection activeCell="D47" sqref="D47"/>
    </sheetView>
  </sheetViews>
  <sheetFormatPr defaultColWidth="0" defaultRowHeight="11.25" zeroHeight="1"/>
  <cols>
    <col min="1" max="1" width="4.6640625" customWidth="1"/>
    <col min="2" max="2" width="119" customWidth="1"/>
    <col min="3" max="3" width="4.6640625" customWidth="1"/>
    <col min="4" max="16384" width="9.1640625" hidden="1"/>
  </cols>
  <sheetData>
    <row r="1" spans="2:2"/>
    <row r="2" spans="2:2" ht="25.5">
      <c r="B2" s="287" t="s">
        <v>0</v>
      </c>
    </row>
    <row r="3" spans="2:2" ht="67.5">
      <c r="B3" s="288" t="s">
        <v>1</v>
      </c>
    </row>
    <row r="4" spans="2:2" ht="54">
      <c r="B4" s="288" t="s">
        <v>2</v>
      </c>
    </row>
    <row r="5" spans="2:2" ht="54">
      <c r="B5" s="288" t="s">
        <v>3</v>
      </c>
    </row>
    <row r="6" spans="2:2" ht="13.5">
      <c r="B6" s="288" t="s">
        <v>4</v>
      </c>
    </row>
    <row r="7" spans="2:2" ht="13.5">
      <c r="B7" s="288" t="s">
        <v>5</v>
      </c>
    </row>
    <row r="8" spans="2:2" ht="13.5">
      <c r="B8" s="289" t="s">
        <v>6</v>
      </c>
    </row>
    <row r="9" spans="2:2"/>
    <row r="10" spans="2:2"/>
  </sheetData>
  <sheetProtection algorithmName="SHA-512" hashValue="RKd+g4ICiG9X8s3fD2T35x1RqkxVMs4YpE7hhIpBV9RdX+a24aJI7zdjM/qAGott5pT64YaTt/sVMlQqLtXmyA==" saltValue="uoKCGPLcpYVU5SaNUgs9AA==" spinCount="100000" sheet="1" objects="1" scenarios="1" selectLockedCells="1" selectUn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rgb="FFC1504D"/>
  </sheetPr>
  <dimension ref="B1:K48"/>
  <sheetViews>
    <sheetView showGridLines="0" zoomScaleNormal="100" workbookViewId="0">
      <selection activeCell="E40" sqref="E40"/>
    </sheetView>
  </sheetViews>
  <sheetFormatPr defaultRowHeight="11.25"/>
  <cols>
    <col min="1" max="2" width="4.6640625" customWidth="1"/>
    <col min="3" max="3" width="28.1640625" bestFit="1" customWidth="1"/>
    <col min="4" max="7" width="18.5" customWidth="1"/>
    <col min="8" max="8" width="15.5" bestFit="1" customWidth="1"/>
    <col min="9" max="9" width="55.33203125" customWidth="1"/>
    <col min="11" max="11" width="4.6640625" customWidth="1"/>
  </cols>
  <sheetData>
    <row r="1" spans="2:11" ht="16.5" thickBot="1">
      <c r="B1" s="364" t="e">
        <f ca="1">RIGHT(CELL("filename",B1),LEN(CELL("filename",B1))-FIND("]",CELL("filename",B1)))</f>
        <v>#VALUE!</v>
      </c>
      <c r="C1" s="4"/>
      <c r="D1" s="4"/>
      <c r="E1" s="4"/>
      <c r="F1" s="4"/>
      <c r="G1" s="4"/>
      <c r="H1" s="4"/>
      <c r="I1" s="4"/>
      <c r="J1" s="4"/>
      <c r="K1" s="4"/>
    </row>
    <row r="2" spans="2:11" ht="12" thickTop="1"/>
    <row r="3" spans="2:11" ht="12.75">
      <c r="C3" s="264" t="s">
        <v>315</v>
      </c>
      <c r="D3" s="264"/>
      <c r="E3" s="264"/>
      <c r="F3" s="264"/>
      <c r="G3" s="264"/>
      <c r="H3" s="264"/>
      <c r="I3" s="264"/>
      <c r="J3" s="264"/>
    </row>
    <row r="4" spans="2:11" ht="4.1500000000000004" customHeight="1">
      <c r="C4" s="264"/>
      <c r="D4" s="264"/>
      <c r="E4" s="264"/>
      <c r="F4" s="264"/>
      <c r="G4" s="264"/>
      <c r="H4" s="264"/>
      <c r="I4" s="264"/>
      <c r="J4" s="264"/>
    </row>
    <row r="5" spans="2:11" ht="12.75">
      <c r="C5" s="343" t="s">
        <v>316</v>
      </c>
      <c r="D5" s="349"/>
      <c r="E5" s="350"/>
      <c r="F5" s="349"/>
      <c r="G5" s="264"/>
      <c r="H5" s="351"/>
      <c r="I5" s="352"/>
      <c r="J5" s="255"/>
    </row>
    <row r="6" spans="2:11" ht="12.75">
      <c r="C6" s="353" t="s">
        <v>317</v>
      </c>
      <c r="D6" s="294"/>
      <c r="E6" s="294"/>
      <c r="F6" s="294"/>
      <c r="G6" s="294"/>
      <c r="H6" s="294"/>
      <c r="I6" s="294"/>
      <c r="J6" s="255"/>
    </row>
    <row r="7" spans="2:11" ht="12.75">
      <c r="C7" s="354" t="s">
        <v>318</v>
      </c>
      <c r="D7" s="294"/>
      <c r="E7" s="294"/>
      <c r="F7" s="294"/>
      <c r="G7" s="294"/>
      <c r="H7" s="294"/>
      <c r="I7" s="294"/>
      <c r="J7" s="255"/>
    </row>
    <row r="8" spans="2:11" ht="13.9" customHeight="1">
      <c r="C8" s="266" t="s">
        <v>319</v>
      </c>
      <c r="D8" s="264"/>
      <c r="E8" s="264"/>
      <c r="F8" s="264"/>
      <c r="G8" s="264"/>
      <c r="H8" s="264"/>
      <c r="I8" s="264"/>
      <c r="J8" s="255"/>
    </row>
    <row r="9" spans="2:11" ht="13.9" customHeight="1">
      <c r="C9" s="266" t="s">
        <v>320</v>
      </c>
      <c r="D9" s="264"/>
      <c r="E9" s="264"/>
      <c r="F9" s="264"/>
      <c r="G9" s="264"/>
      <c r="H9" s="264"/>
      <c r="I9" s="264"/>
      <c r="J9" s="255"/>
    </row>
    <row r="10" spans="2:11" ht="12.75">
      <c r="C10" s="266" t="s">
        <v>321</v>
      </c>
      <c r="D10" s="264"/>
      <c r="E10" s="264"/>
      <c r="F10" s="264"/>
      <c r="G10" s="264"/>
      <c r="H10" s="264"/>
      <c r="I10" s="264"/>
      <c r="J10" s="255"/>
    </row>
    <row r="11" spans="2:11" ht="12.75">
      <c r="C11" s="344" t="s">
        <v>322</v>
      </c>
      <c r="D11" s="264"/>
      <c r="E11" s="264"/>
      <c r="F11" s="264"/>
      <c r="G11" s="264"/>
      <c r="H11" s="264"/>
      <c r="I11" s="264"/>
      <c r="J11" s="255"/>
    </row>
    <row r="12" spans="2:11" ht="12.75">
      <c r="C12" s="266" t="s">
        <v>323</v>
      </c>
      <c r="D12" s="264"/>
      <c r="E12" s="264"/>
      <c r="F12" s="264"/>
      <c r="G12" s="264"/>
      <c r="H12" s="264"/>
      <c r="I12" s="264"/>
      <c r="J12" s="255"/>
    </row>
    <row r="13" spans="2:11" ht="12.75">
      <c r="C13" s="344" t="s">
        <v>324</v>
      </c>
      <c r="D13" s="264"/>
      <c r="E13" s="264"/>
      <c r="F13" s="264"/>
      <c r="G13" s="264"/>
      <c r="H13" s="264"/>
      <c r="I13" s="264"/>
      <c r="J13" s="255"/>
    </row>
    <row r="14" spans="2:11" ht="12.75">
      <c r="C14" s="353" t="s">
        <v>325</v>
      </c>
      <c r="D14" s="294"/>
      <c r="E14" s="294"/>
      <c r="F14" s="294"/>
      <c r="G14" s="294"/>
      <c r="H14" s="294"/>
      <c r="I14" s="294"/>
      <c r="J14" s="255"/>
    </row>
    <row r="15" spans="2:11" ht="12.75">
      <c r="C15" s="354" t="s">
        <v>326</v>
      </c>
      <c r="D15" s="294"/>
      <c r="E15" s="294"/>
      <c r="F15" s="294"/>
      <c r="G15" s="294"/>
      <c r="H15" s="294"/>
      <c r="I15" s="294"/>
      <c r="J15" s="255"/>
    </row>
    <row r="16" spans="2:11" ht="12.75">
      <c r="C16" s="354" t="s">
        <v>327</v>
      </c>
      <c r="D16" s="294"/>
      <c r="E16" s="294"/>
      <c r="F16" s="294"/>
      <c r="G16" s="294"/>
      <c r="H16" s="294"/>
      <c r="I16" s="294"/>
      <c r="J16" s="255"/>
    </row>
    <row r="17" spans="2:10" ht="12.75">
      <c r="C17" s="353" t="s">
        <v>328</v>
      </c>
      <c r="D17" s="294"/>
      <c r="E17" s="294"/>
      <c r="F17" s="294"/>
      <c r="G17" s="294"/>
      <c r="H17" s="294"/>
      <c r="I17" s="294"/>
      <c r="J17" s="255"/>
    </row>
    <row r="18" spans="2:10" ht="12.75">
      <c r="C18" s="354" t="s">
        <v>329</v>
      </c>
      <c r="D18" s="255"/>
      <c r="E18" s="255"/>
      <c r="F18" s="255"/>
      <c r="G18" s="255"/>
      <c r="H18" s="255"/>
      <c r="I18" s="255"/>
      <c r="J18" s="255"/>
    </row>
    <row r="19" spans="2:10" ht="12.75">
      <c r="D19" s="60"/>
      <c r="E19" s="60"/>
      <c r="F19" s="60"/>
      <c r="G19" s="60"/>
      <c r="H19" s="60"/>
    </row>
    <row r="20" spans="2:10" ht="12.75">
      <c r="B20" s="15"/>
      <c r="C20" s="16"/>
      <c r="D20" s="33"/>
      <c r="E20" s="33"/>
      <c r="F20" s="33"/>
      <c r="G20" s="363" t="s">
        <v>330</v>
      </c>
      <c r="H20" s="33"/>
      <c r="I20" s="16"/>
      <c r="J20" s="17"/>
    </row>
    <row r="21" spans="2:10" ht="12.75">
      <c r="B21" s="18"/>
      <c r="C21" s="60" t="s">
        <v>331</v>
      </c>
      <c r="E21" s="357"/>
      <c r="F21" s="60"/>
      <c r="G21" s="358" t="s">
        <v>332</v>
      </c>
      <c r="H21" s="264"/>
      <c r="I21" s="255"/>
      <c r="J21" s="19"/>
    </row>
    <row r="22" spans="2:10" ht="12.75">
      <c r="B22" s="18"/>
      <c r="C22" s="60"/>
      <c r="D22" s="60"/>
      <c r="E22" s="60"/>
      <c r="F22" s="60"/>
      <c r="G22" s="60"/>
      <c r="H22" s="60"/>
      <c r="I22" s="60"/>
      <c r="J22" s="19"/>
    </row>
    <row r="23" spans="2:10" ht="12.75">
      <c r="B23" s="18"/>
      <c r="C23" s="359" t="s">
        <v>333</v>
      </c>
      <c r="D23" s="360" t="s">
        <v>334</v>
      </c>
      <c r="E23" s="360" t="s">
        <v>335</v>
      </c>
      <c r="F23" s="60"/>
      <c r="G23" s="60"/>
      <c r="H23" s="60"/>
      <c r="I23" s="60"/>
      <c r="J23" s="19"/>
    </row>
    <row r="24" spans="2:10" ht="12.75">
      <c r="B24" s="18"/>
      <c r="C24" s="60" t="s">
        <v>336</v>
      </c>
      <c r="D24" s="114" t="e">
        <f>E24/$E$26*$E$21</f>
        <v>#DIV/0!</v>
      </c>
      <c r="E24" s="361"/>
      <c r="F24" s="60"/>
      <c r="G24" s="358" t="s">
        <v>337</v>
      </c>
      <c r="H24" s="264"/>
      <c r="I24" s="255"/>
      <c r="J24" s="19"/>
    </row>
    <row r="25" spans="2:10" ht="12.75">
      <c r="B25" s="18"/>
      <c r="C25" s="60" t="s">
        <v>338</v>
      </c>
      <c r="D25" s="114" t="e">
        <f>E25/$E$26*$E$21</f>
        <v>#DIV/0!</v>
      </c>
      <c r="E25" s="361"/>
      <c r="F25" s="60"/>
      <c r="G25" s="358" t="s">
        <v>339</v>
      </c>
      <c r="H25" s="264"/>
      <c r="I25" s="255"/>
      <c r="J25" s="19"/>
    </row>
    <row r="26" spans="2:10" ht="13.5" thickBot="1">
      <c r="B26" s="18"/>
      <c r="C26" s="177" t="s">
        <v>340</v>
      </c>
      <c r="D26" s="178" t="e">
        <f>SUM(D24:D25)</f>
        <v>#DIV/0!</v>
      </c>
      <c r="E26" s="174">
        <f>SUM(E24:E25)</f>
        <v>0</v>
      </c>
      <c r="F26" s="60"/>
      <c r="G26" s="60"/>
      <c r="H26" s="60"/>
      <c r="J26" s="19"/>
    </row>
    <row r="27" spans="2:10" ht="13.5" thickTop="1">
      <c r="B27" s="20"/>
      <c r="C27" s="362"/>
      <c r="D27" s="362"/>
      <c r="E27" s="362"/>
      <c r="F27" s="362"/>
      <c r="G27" s="362"/>
      <c r="H27" s="362"/>
      <c r="I27" s="23"/>
      <c r="J27" s="24"/>
    </row>
    <row r="28" spans="2:10" ht="12.75">
      <c r="C28" s="60"/>
      <c r="D28" s="60"/>
      <c r="E28" s="60"/>
      <c r="F28" s="60"/>
      <c r="G28" s="60"/>
      <c r="H28" s="60"/>
    </row>
    <row r="29" spans="2:10" ht="15">
      <c r="C29" s="185" t="s">
        <v>341</v>
      </c>
      <c r="D29" s="60"/>
      <c r="E29" s="60"/>
      <c r="F29" s="60"/>
      <c r="G29" s="60"/>
      <c r="H29" s="60"/>
    </row>
    <row r="30" spans="2:10" ht="12.75">
      <c r="C30" s="93" t="s">
        <v>342</v>
      </c>
      <c r="D30" s="61" t="s">
        <v>343</v>
      </c>
      <c r="E30" s="61" t="s">
        <v>344</v>
      </c>
      <c r="F30" s="182" t="s">
        <v>345</v>
      </c>
      <c r="G30" s="61" t="s">
        <v>346</v>
      </c>
      <c r="H30" s="175" t="s">
        <v>171</v>
      </c>
      <c r="I30" s="230" t="s">
        <v>347</v>
      </c>
    </row>
    <row r="31" spans="2:10" ht="12.75">
      <c r="C31" s="63" t="s">
        <v>173</v>
      </c>
      <c r="D31" s="228"/>
      <c r="E31" s="228"/>
      <c r="F31" s="183">
        <f>IFERROR(Tbl_LandValue[[#This Row],[Interment Sites]]/Tbl_LandValue[[#This Row],[Adjustment Factor]],0)</f>
        <v>0</v>
      </c>
      <c r="G31" s="248">
        <f>IFERROR($D$24/Tbl_LandValue[[#Totals],[Adjusted Site]]/Tbl_LandValue[[#This Row],[Adjustment Factor]],0)</f>
        <v>0</v>
      </c>
      <c r="H31" s="249">
        <f>Tbl_LandValue[[#This Row],[Interment Sites]]*Tbl_LandValue[[#This Row],[Site Land Value]]</f>
        <v>0</v>
      </c>
      <c r="I31" s="60"/>
    </row>
    <row r="32" spans="2:10" ht="12.75">
      <c r="C32" s="63" t="s">
        <v>348</v>
      </c>
      <c r="D32" s="228"/>
      <c r="E32" s="228"/>
      <c r="F32" s="183">
        <f>IFERROR(Tbl_LandValue[[#This Row],[Interment Sites]]/Tbl_LandValue[[#This Row],[Adjustment Factor]],0)</f>
        <v>0</v>
      </c>
      <c r="G32" s="248">
        <f>IFERROR($D$24/Tbl_LandValue[[#Totals],[Adjusted Site]]/Tbl_LandValue[[#This Row],[Adjustment Factor]],0)</f>
        <v>0</v>
      </c>
      <c r="H32" s="249">
        <f>Tbl_LandValue[[#This Row],[Interment Sites]]*Tbl_LandValue[[#This Row],[Site Land Value]]</f>
        <v>0</v>
      </c>
      <c r="I32" s="60"/>
    </row>
    <row r="33" spans="3:9" ht="12.75">
      <c r="C33" s="63" t="s">
        <v>349</v>
      </c>
      <c r="D33" s="228"/>
      <c r="E33" s="228"/>
      <c r="F33" s="183">
        <f>IFERROR(Tbl_LandValue[[#This Row],[Interment Sites]]/Tbl_LandValue[[#This Row],[Adjustment Factor]],0)</f>
        <v>0</v>
      </c>
      <c r="G33" s="248">
        <f>IFERROR($D$24/Tbl_LandValue[[#Totals],[Adjusted Site]]/Tbl_LandValue[[#This Row],[Adjustment Factor]],0)</f>
        <v>0</v>
      </c>
      <c r="H33" s="249">
        <f>Tbl_LandValue[[#This Row],[Interment Sites]]*Tbl_LandValue[[#This Row],[Site Land Value]]</f>
        <v>0</v>
      </c>
      <c r="I33" s="60"/>
    </row>
    <row r="34" spans="3:9" ht="12.75">
      <c r="C34" s="63" t="s">
        <v>238</v>
      </c>
      <c r="D34" s="228"/>
      <c r="E34" s="228"/>
      <c r="F34" s="183">
        <f>IFERROR(Tbl_LandValue[[#This Row],[Interment Sites]]/Tbl_LandValue[[#This Row],[Adjustment Factor]],0)</f>
        <v>0</v>
      </c>
      <c r="G34" s="248">
        <f>IFERROR($D$24/Tbl_LandValue[[#Totals],[Adjusted Site]]/Tbl_LandValue[[#This Row],[Adjustment Factor]],0)</f>
        <v>0</v>
      </c>
      <c r="H34" s="249">
        <f>Tbl_LandValue[[#This Row],[Interment Sites]]*Tbl_LandValue[[#This Row],[Site Land Value]]</f>
        <v>0</v>
      </c>
      <c r="I34" s="60"/>
    </row>
    <row r="35" spans="3:9" ht="12.75">
      <c r="C35" s="63"/>
      <c r="D35" s="229"/>
      <c r="E35" s="229"/>
      <c r="F35" s="183">
        <f>IFERROR(Tbl_LandValue[[#This Row],[Interment Sites]]/Tbl_LandValue[[#This Row],[Adjustment Factor]],0)</f>
        <v>0</v>
      </c>
      <c r="G35" s="248">
        <f>IFERROR($D$24/Tbl_LandValue[[#Totals],[Adjusted Site]]/Tbl_LandValue[[#This Row],[Adjustment Factor]],0)</f>
        <v>0</v>
      </c>
      <c r="H35" s="249">
        <f>Tbl_LandValue[[#This Row],[Interment Sites]]*Tbl_LandValue[[#This Row],[Site Land Value]]</f>
        <v>0</v>
      </c>
      <c r="I35" s="60"/>
    </row>
    <row r="36" spans="3:9" ht="12.75">
      <c r="C36" s="63"/>
      <c r="D36" s="229"/>
      <c r="E36" s="229"/>
      <c r="F36" s="183">
        <f>IFERROR(Tbl_LandValue[[#This Row],[Interment Sites]]/Tbl_LandValue[[#This Row],[Adjustment Factor]],0)</f>
        <v>0</v>
      </c>
      <c r="G36" s="248">
        <f>IFERROR($D$24/Tbl_LandValue[[#Totals],[Adjusted Site]]/Tbl_LandValue[[#This Row],[Adjustment Factor]],0)</f>
        <v>0</v>
      </c>
      <c r="H36" s="249">
        <f>Tbl_LandValue[[#This Row],[Interment Sites]]*Tbl_LandValue[[#This Row],[Site Land Value]]</f>
        <v>0</v>
      </c>
    </row>
    <row r="37" spans="3:9" ht="12.75">
      <c r="C37" s="63"/>
      <c r="D37" s="229"/>
      <c r="E37" s="229"/>
      <c r="F37" s="183">
        <f>IFERROR(Tbl_LandValue[[#This Row],[Interment Sites]]/Tbl_LandValue[[#This Row],[Adjustment Factor]],0)</f>
        <v>0</v>
      </c>
      <c r="G37" s="248">
        <f>IFERROR($D$24/Tbl_LandValue[[#Totals],[Adjusted Site]]/Tbl_LandValue[[#This Row],[Adjustment Factor]],0)</f>
        <v>0</v>
      </c>
      <c r="H37" s="249">
        <f>Tbl_LandValue[[#This Row],[Interment Sites]]*Tbl_LandValue[[#This Row],[Site Land Value]]</f>
        <v>0</v>
      </c>
    </row>
    <row r="38" spans="3:9" ht="12.75">
      <c r="C38" s="63"/>
      <c r="D38" s="229"/>
      <c r="E38" s="229"/>
      <c r="F38" s="183">
        <f>IFERROR(Tbl_LandValue[[#This Row],[Interment Sites]]/Tbl_LandValue[[#This Row],[Adjustment Factor]],0)</f>
        <v>0</v>
      </c>
      <c r="G38" s="248">
        <f>IFERROR($D$24/Tbl_LandValue[[#Totals],[Adjusted Site]]/Tbl_LandValue[[#This Row],[Adjustment Factor]],0)</f>
        <v>0</v>
      </c>
      <c r="H38" s="249">
        <f>Tbl_LandValue[[#This Row],[Interment Sites]]*Tbl_LandValue[[#This Row],[Site Land Value]]</f>
        <v>0</v>
      </c>
    </row>
    <row r="39" spans="3:9" ht="12.75">
      <c r="C39" s="63"/>
      <c r="D39" s="229"/>
      <c r="E39" s="229"/>
      <c r="F39" s="183">
        <f>IFERROR(Tbl_LandValue[[#This Row],[Interment Sites]]/Tbl_LandValue[[#This Row],[Adjustment Factor]],0)</f>
        <v>0</v>
      </c>
      <c r="G39" s="248">
        <f>IFERROR($D$24/Tbl_LandValue[[#Totals],[Adjusted Site]]/Tbl_LandValue[[#This Row],[Adjustment Factor]],0)</f>
        <v>0</v>
      </c>
      <c r="H39" s="249">
        <f>Tbl_LandValue[[#This Row],[Interment Sites]]*Tbl_LandValue[[#This Row],[Site Land Value]]</f>
        <v>0</v>
      </c>
    </row>
    <row r="40" spans="3:9" ht="12.75">
      <c r="C40" s="63"/>
      <c r="D40" s="229"/>
      <c r="E40" s="229"/>
      <c r="F40" s="183">
        <f>IFERROR(Tbl_LandValue[[#This Row],[Interment Sites]]/Tbl_LandValue[[#This Row],[Adjustment Factor]],0)</f>
        <v>0</v>
      </c>
      <c r="G40" s="250">
        <f>IFERROR($D$24/Tbl_LandValue[[#Totals],[Adjusted Site]]/Tbl_LandValue[[#This Row],[Adjustment Factor]],0)</f>
        <v>0</v>
      </c>
      <c r="H40" s="251">
        <f>Tbl_LandValue[[#This Row],[Interment Sites]]*Tbl_LandValue[[#This Row],[Site Land Value]]</f>
        <v>0</v>
      </c>
    </row>
    <row r="41" spans="3:9" ht="12.75">
      <c r="C41" s="63"/>
      <c r="D41" s="229"/>
      <c r="E41" s="229"/>
      <c r="F41" s="183">
        <f>IFERROR(Tbl_LandValue[[#This Row],[Interment Sites]]/Tbl_LandValue[[#This Row],[Adjustment Factor]],0)</f>
        <v>0</v>
      </c>
      <c r="G41" s="250">
        <f>IFERROR($D$24/Tbl_LandValue[[#Totals],[Adjusted Site]]/Tbl_LandValue[[#This Row],[Adjustment Factor]],0)</f>
        <v>0</v>
      </c>
      <c r="H41" s="251">
        <f>Tbl_LandValue[[#This Row],[Interment Sites]]*Tbl_LandValue[[#This Row],[Site Land Value]]</f>
        <v>0</v>
      </c>
    </row>
    <row r="42" spans="3:9" ht="12.75">
      <c r="C42" s="63"/>
      <c r="D42" s="229"/>
      <c r="E42" s="229"/>
      <c r="F42" s="183">
        <f>IFERROR(Tbl_LandValue[[#This Row],[Interment Sites]]/Tbl_LandValue[[#This Row],[Adjustment Factor]],0)</f>
        <v>0</v>
      </c>
      <c r="G42" s="250">
        <f>IFERROR($D$24/Tbl_LandValue[[#Totals],[Adjusted Site]]/Tbl_LandValue[[#This Row],[Adjustment Factor]],0)</f>
        <v>0</v>
      </c>
      <c r="H42" s="251">
        <f>Tbl_LandValue[[#This Row],[Interment Sites]]*Tbl_LandValue[[#This Row],[Site Land Value]]</f>
        <v>0</v>
      </c>
    </row>
    <row r="43" spans="3:9" ht="12.75">
      <c r="C43" s="63"/>
      <c r="D43" s="229"/>
      <c r="E43" s="229"/>
      <c r="F43" s="183">
        <f>IFERROR(Tbl_LandValue[[#This Row],[Interment Sites]]/Tbl_LandValue[[#This Row],[Adjustment Factor]],0)</f>
        <v>0</v>
      </c>
      <c r="G43" s="250">
        <f>IFERROR($D$24/Tbl_LandValue[[#Totals],[Adjusted Site]]/Tbl_LandValue[[#This Row],[Adjustment Factor]],0)</f>
        <v>0</v>
      </c>
      <c r="H43" s="251">
        <f>Tbl_LandValue[[#This Row],[Interment Sites]]*Tbl_LandValue[[#This Row],[Site Land Value]]</f>
        <v>0</v>
      </c>
    </row>
    <row r="44" spans="3:9" ht="12.75">
      <c r="C44" s="63"/>
      <c r="D44" s="229"/>
      <c r="E44" s="229"/>
      <c r="F44" s="183">
        <f>IFERROR(Tbl_LandValue[[#This Row],[Interment Sites]]/Tbl_LandValue[[#This Row],[Adjustment Factor]],0)</f>
        <v>0</v>
      </c>
      <c r="G44" s="250">
        <f>IFERROR($D$24/Tbl_LandValue[[#Totals],[Adjusted Site]]/Tbl_LandValue[[#This Row],[Adjustment Factor]],0)</f>
        <v>0</v>
      </c>
      <c r="H44" s="251">
        <f>Tbl_LandValue[[#This Row],[Interment Sites]]*Tbl_LandValue[[#This Row],[Site Land Value]]</f>
        <v>0</v>
      </c>
    </row>
    <row r="45" spans="3:9" ht="12.75">
      <c r="C45" s="63"/>
      <c r="D45" s="229"/>
      <c r="E45" s="229"/>
      <c r="F45" s="183">
        <f>IFERROR(Tbl_LandValue[[#This Row],[Interment Sites]]/Tbl_LandValue[[#This Row],[Adjustment Factor]],0)</f>
        <v>0</v>
      </c>
      <c r="G45" s="248">
        <f>IFERROR($D$24/Tbl_LandValue[[#Totals],[Adjusted Site]]/Tbl_LandValue[[#This Row],[Adjustment Factor]],0)</f>
        <v>0</v>
      </c>
      <c r="H45" s="249">
        <f>Tbl_LandValue[[#This Row],[Interment Sites]]*Tbl_LandValue[[#This Row],[Site Land Value]]</f>
        <v>0</v>
      </c>
    </row>
    <row r="46" spans="3:9" ht="13.5" thickBot="1">
      <c r="C46" s="394" t="s">
        <v>280</v>
      </c>
      <c r="D46" s="395">
        <f>SUBTOTAL(109,Tbl_LandValue[Interment Sites])</f>
        <v>0</v>
      </c>
      <c r="E46" s="396"/>
      <c r="F46" s="395">
        <f>SUBTOTAL(109,Tbl_LandValue[Adjusted Site])</f>
        <v>0</v>
      </c>
      <c r="G46" s="397"/>
      <c r="H46" s="398">
        <f>SUBTOTAL(109,Tbl_LandValue[Land Value])</f>
        <v>0</v>
      </c>
      <c r="I46" s="176" t="e">
        <f>D24-Tbl_LandValue[[#Totals],[Land Value]]</f>
        <v>#DIV/0!</v>
      </c>
    </row>
    <row r="47" spans="3:9" ht="13.5" thickTop="1">
      <c r="C47" s="6" t="s">
        <v>350</v>
      </c>
      <c r="D47" s="179"/>
      <c r="E47" s="180"/>
      <c r="F47" s="179"/>
      <c r="G47" s="60"/>
      <c r="H47" s="181"/>
      <c r="I47" s="176"/>
    </row>
    <row r="48" spans="3:9" ht="12.75">
      <c r="C48" s="6"/>
      <c r="D48" s="179"/>
      <c r="E48" s="180"/>
      <c r="F48" s="179"/>
      <c r="G48" s="60"/>
      <c r="H48" s="181"/>
      <c r="I48" s="176"/>
    </row>
  </sheetData>
  <sheetProtection sheet="1" objects="1" scenarios="1"/>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C1504D"/>
  </sheetPr>
  <dimension ref="B1:Q40"/>
  <sheetViews>
    <sheetView showGridLines="0" workbookViewId="0">
      <selection activeCell="D39" sqref="D39:H39"/>
    </sheetView>
  </sheetViews>
  <sheetFormatPr defaultRowHeight="11.25"/>
  <cols>
    <col min="1" max="2" width="4.6640625" customWidth="1"/>
    <col min="3" max="3" width="29.1640625" bestFit="1" customWidth="1"/>
    <col min="4" max="13" width="17.5" customWidth="1"/>
    <col min="14" max="14" width="2.6640625" customWidth="1"/>
    <col min="15" max="15" width="33.6640625" customWidth="1"/>
    <col min="16" max="16" width="4.6640625" customWidth="1"/>
  </cols>
  <sheetData>
    <row r="1" spans="2:17" ht="16.5" thickBot="1">
      <c r="B1" s="364" t="e">
        <f ca="1">RIGHT(CELL("filename",B1),LEN(CELL("filename",B1))-FIND("]",CELL("filename",B1)))</f>
        <v>#VALUE!</v>
      </c>
      <c r="C1" s="4"/>
      <c r="D1" s="4"/>
      <c r="E1" s="4"/>
      <c r="F1" s="4"/>
      <c r="G1" s="4"/>
      <c r="H1" s="4"/>
      <c r="I1" s="4"/>
      <c r="J1" s="4"/>
      <c r="K1" s="4"/>
      <c r="L1" s="4"/>
      <c r="M1" s="4"/>
      <c r="N1" s="4"/>
      <c r="O1" s="4"/>
      <c r="P1" s="4"/>
      <c r="Q1" s="4"/>
    </row>
    <row r="2" spans="2:17" ht="12" thickTop="1"/>
    <row r="3" spans="2:17" ht="12.75">
      <c r="B3" s="264" t="s">
        <v>351</v>
      </c>
      <c r="C3" s="264"/>
      <c r="D3" s="264"/>
      <c r="E3" s="264"/>
      <c r="F3" s="264"/>
      <c r="G3" s="264"/>
      <c r="H3" s="264"/>
      <c r="I3" s="264"/>
      <c r="J3" s="264"/>
      <c r="K3" s="264"/>
      <c r="L3" s="264"/>
      <c r="M3" s="264"/>
      <c r="N3" s="264"/>
      <c r="O3" s="264"/>
    </row>
    <row r="4" spans="2:17" ht="4.1500000000000004" customHeight="1">
      <c r="B4" s="264"/>
      <c r="C4" s="264"/>
      <c r="D4" s="264"/>
      <c r="E4" s="264"/>
      <c r="F4" s="264"/>
      <c r="G4" s="264"/>
      <c r="H4" s="264"/>
      <c r="I4" s="264"/>
      <c r="J4" s="264"/>
      <c r="K4" s="264"/>
      <c r="L4" s="264"/>
      <c r="M4" s="264"/>
      <c r="N4" s="264"/>
      <c r="O4" s="264"/>
    </row>
    <row r="5" spans="2:17" ht="12.75">
      <c r="B5" s="343" t="s">
        <v>316</v>
      </c>
      <c r="C5" s="349"/>
      <c r="D5" s="350"/>
      <c r="E5" s="349"/>
      <c r="F5" s="264"/>
      <c r="G5" s="351"/>
      <c r="H5" s="356"/>
      <c r="I5" s="264"/>
      <c r="J5" s="264"/>
      <c r="K5" s="264"/>
      <c r="L5" s="264"/>
      <c r="M5" s="264"/>
      <c r="N5" s="264"/>
      <c r="O5" s="264"/>
    </row>
    <row r="6" spans="2:17" ht="12.75">
      <c r="B6" s="355" t="s">
        <v>352</v>
      </c>
      <c r="C6" s="294"/>
      <c r="D6" s="294"/>
      <c r="E6" s="294"/>
      <c r="F6" s="294"/>
      <c r="G6" s="294"/>
      <c r="H6" s="294"/>
      <c r="I6" s="264"/>
      <c r="J6" s="264"/>
      <c r="K6" s="264"/>
      <c r="L6" s="264"/>
      <c r="M6" s="264"/>
      <c r="N6" s="264"/>
      <c r="O6" s="264"/>
    </row>
    <row r="7" spans="2:17" ht="12.75">
      <c r="B7" s="355" t="s">
        <v>353</v>
      </c>
      <c r="C7" s="294"/>
      <c r="D7" s="294"/>
      <c r="E7" s="294"/>
      <c r="F7" s="294"/>
      <c r="G7" s="294"/>
      <c r="H7" s="294"/>
      <c r="I7" s="264"/>
      <c r="J7" s="264"/>
      <c r="K7" s="264"/>
      <c r="L7" s="264"/>
      <c r="M7" s="264"/>
      <c r="N7" s="264"/>
      <c r="O7" s="264"/>
    </row>
    <row r="8" spans="2:17" ht="12.75">
      <c r="B8" s="355" t="s">
        <v>354</v>
      </c>
      <c r="C8" s="264"/>
      <c r="D8" s="264"/>
      <c r="E8" s="264"/>
      <c r="F8" s="264"/>
      <c r="G8" s="264"/>
      <c r="H8" s="264"/>
      <c r="I8" s="264"/>
      <c r="J8" s="264"/>
      <c r="K8" s="264"/>
      <c r="L8" s="264"/>
      <c r="M8" s="264"/>
      <c r="N8" s="264"/>
      <c r="O8" s="264"/>
    </row>
    <row r="10" spans="2:17" ht="12.75">
      <c r="B10" s="184" t="s">
        <v>355</v>
      </c>
    </row>
    <row r="11" spans="2:17" ht="28.15" customHeight="1">
      <c r="B11" s="15"/>
      <c r="C11" s="117"/>
      <c r="D11" s="36" t="str">
        <f t="shared" ref="D11:M11" si="0">D37</f>
        <v>Basic</v>
      </c>
      <c r="E11" s="36" t="str">
        <f t="shared" si="0"/>
        <v>Lawn Beam</v>
      </c>
      <c r="F11" s="36" t="str">
        <f t="shared" si="0"/>
        <v>Feature Garden</v>
      </c>
      <c r="G11" s="36" t="str">
        <f t="shared" si="0"/>
        <v>Redevelop</v>
      </c>
      <c r="H11" s="36" t="str">
        <f t="shared" si="0"/>
        <v>Mausoleum</v>
      </c>
      <c r="I11" s="36">
        <f t="shared" si="0"/>
        <v>0</v>
      </c>
      <c r="J11" s="36">
        <f t="shared" si="0"/>
        <v>0</v>
      </c>
      <c r="K11" s="36">
        <f t="shared" si="0"/>
        <v>0</v>
      </c>
      <c r="L11" s="36">
        <f t="shared" si="0"/>
        <v>0</v>
      </c>
      <c r="M11" s="36">
        <f t="shared" si="0"/>
        <v>0</v>
      </c>
      <c r="N11" s="117"/>
      <c r="O11" s="16"/>
      <c r="P11" s="17"/>
    </row>
    <row r="12" spans="2:17" ht="4.1500000000000004" customHeight="1">
      <c r="B12" s="18"/>
      <c r="C12" s="59"/>
      <c r="D12" s="59"/>
      <c r="E12" s="59"/>
      <c r="F12" s="59"/>
      <c r="G12" s="59"/>
      <c r="H12" s="59"/>
      <c r="I12" s="59"/>
      <c r="J12" s="59"/>
      <c r="K12" s="59"/>
      <c r="L12" s="59"/>
      <c r="M12" s="59"/>
      <c r="N12" s="59"/>
      <c r="O12" s="59"/>
      <c r="P12" s="19"/>
    </row>
    <row r="13" spans="2:17" ht="13.5" thickBot="1">
      <c r="B13" s="18"/>
      <c r="C13" s="103" t="s">
        <v>355</v>
      </c>
      <c r="D13" s="110">
        <f>IFERROR(D32/D39,0)</f>
        <v>0</v>
      </c>
      <c r="E13" s="110">
        <f>IFERROR(E32/E39,0)</f>
        <v>0</v>
      </c>
      <c r="F13" s="110">
        <f t="shared" ref="F13:M13" si="1">IFERROR(F32/F39,0)</f>
        <v>0</v>
      </c>
      <c r="G13" s="110">
        <f t="shared" si="1"/>
        <v>0</v>
      </c>
      <c r="H13" s="110">
        <f t="shared" si="1"/>
        <v>0</v>
      </c>
      <c r="I13" s="110">
        <f t="shared" si="1"/>
        <v>0</v>
      </c>
      <c r="J13" s="110">
        <f t="shared" si="1"/>
        <v>0</v>
      </c>
      <c r="K13" s="110">
        <f t="shared" si="1"/>
        <v>0</v>
      </c>
      <c r="L13" s="110">
        <f t="shared" si="1"/>
        <v>0</v>
      </c>
      <c r="M13" s="110">
        <f t="shared" si="1"/>
        <v>0</v>
      </c>
      <c r="N13" s="59"/>
      <c r="O13" s="59"/>
      <c r="P13" s="19"/>
    </row>
    <row r="14" spans="2:17" ht="13.5" thickTop="1">
      <c r="B14" s="20"/>
      <c r="C14" s="122"/>
      <c r="D14" s="122"/>
      <c r="E14" s="122"/>
      <c r="F14" s="122"/>
      <c r="G14" s="122"/>
      <c r="H14" s="122"/>
      <c r="I14" s="122"/>
      <c r="J14" s="122"/>
      <c r="K14" s="122"/>
      <c r="L14" s="122"/>
      <c r="M14" s="122"/>
      <c r="N14" s="122"/>
      <c r="O14" s="122"/>
      <c r="P14" s="24"/>
    </row>
    <row r="15" spans="2:17" ht="12.75">
      <c r="C15" s="96"/>
      <c r="D15" s="96"/>
      <c r="E15" s="96"/>
      <c r="F15" s="96"/>
      <c r="G15" s="96"/>
      <c r="H15" s="96"/>
      <c r="I15" s="96"/>
      <c r="J15" s="96"/>
      <c r="K15" s="96"/>
      <c r="L15" s="96"/>
      <c r="M15" s="96"/>
      <c r="N15" s="96"/>
      <c r="O15" s="96"/>
    </row>
    <row r="16" spans="2:17" ht="12.75">
      <c r="B16" s="104" t="s">
        <v>356</v>
      </c>
      <c r="C16" s="96"/>
      <c r="D16" s="96"/>
      <c r="E16" s="96"/>
      <c r="F16" s="96"/>
      <c r="G16" s="96"/>
      <c r="H16" s="96"/>
      <c r="I16" s="96"/>
      <c r="J16" s="96"/>
      <c r="K16" s="96"/>
      <c r="L16" s="96"/>
      <c r="M16" s="96"/>
      <c r="N16" s="96"/>
      <c r="O16" s="96"/>
    </row>
    <row r="17" spans="2:16" ht="12.75">
      <c r="B17" s="15"/>
      <c r="C17" s="117" t="s">
        <v>357</v>
      </c>
      <c r="D17" s="189" t="str">
        <f t="shared" ref="D17:M17" si="2">D37</f>
        <v>Basic</v>
      </c>
      <c r="E17" s="189" t="str">
        <f t="shared" si="2"/>
        <v>Lawn Beam</v>
      </c>
      <c r="F17" s="189" t="str">
        <f t="shared" si="2"/>
        <v>Feature Garden</v>
      </c>
      <c r="G17" s="189" t="str">
        <f t="shared" si="2"/>
        <v>Redevelop</v>
      </c>
      <c r="H17" s="189" t="str">
        <f t="shared" si="2"/>
        <v>Mausoleum</v>
      </c>
      <c r="I17" s="189">
        <f t="shared" si="2"/>
        <v>0</v>
      </c>
      <c r="J17" s="189">
        <f t="shared" si="2"/>
        <v>0</v>
      </c>
      <c r="K17" s="189">
        <f t="shared" si="2"/>
        <v>0</v>
      </c>
      <c r="L17" s="189">
        <f t="shared" si="2"/>
        <v>0</v>
      </c>
      <c r="M17" s="189">
        <f t="shared" si="2"/>
        <v>0</v>
      </c>
      <c r="N17" s="117"/>
      <c r="O17" s="193" t="s">
        <v>330</v>
      </c>
      <c r="P17" s="17"/>
    </row>
    <row r="18" spans="2:16" ht="4.1500000000000004" customHeight="1">
      <c r="B18" s="18"/>
      <c r="C18" s="59"/>
      <c r="D18" s="95"/>
      <c r="E18" s="95"/>
      <c r="F18" s="95"/>
      <c r="G18" s="95"/>
      <c r="H18" s="95"/>
      <c r="I18" s="95"/>
      <c r="J18" s="95"/>
      <c r="K18" s="95"/>
      <c r="L18" s="95"/>
      <c r="M18" s="95"/>
      <c r="N18" s="59"/>
      <c r="O18" s="59"/>
      <c r="P18" s="19"/>
    </row>
    <row r="19" spans="2:16" ht="12.75">
      <c r="B19" s="18"/>
      <c r="C19" s="402" t="s">
        <v>358</v>
      </c>
      <c r="D19" s="403"/>
      <c r="E19" s="403"/>
      <c r="F19" s="403"/>
      <c r="G19" s="403"/>
      <c r="H19" s="403"/>
      <c r="I19" s="403"/>
      <c r="J19" s="403"/>
      <c r="K19" s="403"/>
      <c r="L19" s="403"/>
      <c r="M19" s="403"/>
      <c r="N19" s="187"/>
      <c r="O19" s="399"/>
      <c r="P19" s="19"/>
    </row>
    <row r="20" spans="2:16" ht="12.75">
      <c r="B20" s="18"/>
      <c r="C20" s="402" t="s">
        <v>359</v>
      </c>
      <c r="D20" s="403"/>
      <c r="E20" s="403"/>
      <c r="F20" s="403"/>
      <c r="G20" s="403"/>
      <c r="H20" s="403"/>
      <c r="I20" s="403"/>
      <c r="J20" s="403"/>
      <c r="K20" s="403"/>
      <c r="L20" s="403"/>
      <c r="M20" s="403"/>
      <c r="N20" s="59"/>
      <c r="O20" s="399" t="s">
        <v>360</v>
      </c>
      <c r="P20" s="19"/>
    </row>
    <row r="21" spans="2:16" ht="12.75">
      <c r="B21" s="18"/>
      <c r="C21" s="402" t="s">
        <v>361</v>
      </c>
      <c r="D21" s="403"/>
      <c r="E21" s="403"/>
      <c r="F21" s="403"/>
      <c r="G21" s="403"/>
      <c r="H21" s="403"/>
      <c r="I21" s="403"/>
      <c r="J21" s="403"/>
      <c r="K21" s="403"/>
      <c r="L21" s="403"/>
      <c r="M21" s="403"/>
      <c r="N21" s="59"/>
      <c r="O21" s="399" t="s">
        <v>362</v>
      </c>
      <c r="P21" s="19"/>
    </row>
    <row r="22" spans="2:16" ht="12.75">
      <c r="B22" s="18"/>
      <c r="C22" s="402" t="s">
        <v>363</v>
      </c>
      <c r="D22" s="403"/>
      <c r="E22" s="403"/>
      <c r="F22" s="403"/>
      <c r="G22" s="403"/>
      <c r="H22" s="403"/>
      <c r="I22" s="403"/>
      <c r="J22" s="403"/>
      <c r="K22" s="403"/>
      <c r="L22" s="403"/>
      <c r="M22" s="403"/>
      <c r="N22" s="187"/>
      <c r="O22" s="399" t="s">
        <v>364</v>
      </c>
      <c r="P22" s="19"/>
    </row>
    <row r="23" spans="2:16" ht="12.75">
      <c r="B23" s="18"/>
      <c r="C23" s="402" t="s">
        <v>365</v>
      </c>
      <c r="D23" s="403"/>
      <c r="E23" s="403"/>
      <c r="F23" s="403"/>
      <c r="G23" s="403"/>
      <c r="H23" s="403"/>
      <c r="I23" s="403"/>
      <c r="J23" s="403"/>
      <c r="K23" s="403"/>
      <c r="L23" s="403"/>
      <c r="M23" s="403"/>
      <c r="N23" s="187"/>
      <c r="O23" s="399" t="s">
        <v>366</v>
      </c>
      <c r="P23" s="19"/>
    </row>
    <row r="24" spans="2:16" ht="12.75">
      <c r="B24" s="18"/>
      <c r="C24" s="402" t="s">
        <v>367</v>
      </c>
      <c r="D24" s="403"/>
      <c r="E24" s="403"/>
      <c r="F24" s="403"/>
      <c r="G24" s="403"/>
      <c r="H24" s="403"/>
      <c r="I24" s="403"/>
      <c r="J24" s="403"/>
      <c r="K24" s="403"/>
      <c r="L24" s="403"/>
      <c r="M24" s="403"/>
      <c r="N24" s="187"/>
      <c r="O24" s="399" t="s">
        <v>368</v>
      </c>
      <c r="P24" s="19"/>
    </row>
    <row r="25" spans="2:16" ht="12.75">
      <c r="B25" s="18"/>
      <c r="C25" s="402" t="s">
        <v>369</v>
      </c>
      <c r="D25" s="403"/>
      <c r="E25" s="403"/>
      <c r="F25" s="403"/>
      <c r="G25" s="403"/>
      <c r="H25" s="403"/>
      <c r="I25" s="403"/>
      <c r="J25" s="403"/>
      <c r="K25" s="403"/>
      <c r="L25" s="403"/>
      <c r="M25" s="403"/>
      <c r="N25" s="59"/>
      <c r="O25" s="399" t="s">
        <v>370</v>
      </c>
      <c r="P25" s="19"/>
    </row>
    <row r="26" spans="2:16" ht="12.75">
      <c r="B26" s="18"/>
      <c r="C26" s="402"/>
      <c r="D26" s="403"/>
      <c r="E26" s="403"/>
      <c r="F26" s="403"/>
      <c r="G26" s="403"/>
      <c r="H26" s="403"/>
      <c r="I26" s="403"/>
      <c r="J26" s="403"/>
      <c r="K26" s="403"/>
      <c r="L26" s="403"/>
      <c r="M26" s="403"/>
      <c r="N26" s="59"/>
      <c r="O26" s="399"/>
      <c r="P26" s="19"/>
    </row>
    <row r="27" spans="2:16" ht="12.75">
      <c r="B27" s="18"/>
      <c r="C27" s="402"/>
      <c r="D27" s="403"/>
      <c r="E27" s="403"/>
      <c r="F27" s="403"/>
      <c r="G27" s="403"/>
      <c r="H27" s="403"/>
      <c r="I27" s="403"/>
      <c r="J27" s="403"/>
      <c r="K27" s="403"/>
      <c r="L27" s="403"/>
      <c r="M27" s="403"/>
      <c r="N27" s="59"/>
      <c r="O27" s="399"/>
      <c r="P27" s="19"/>
    </row>
    <row r="28" spans="2:16" ht="12.75">
      <c r="B28" s="18"/>
      <c r="C28" s="402"/>
      <c r="D28" s="403"/>
      <c r="E28" s="403"/>
      <c r="F28" s="403"/>
      <c r="G28" s="403"/>
      <c r="H28" s="403"/>
      <c r="I28" s="403"/>
      <c r="J28" s="403"/>
      <c r="K28" s="403"/>
      <c r="L28" s="403"/>
      <c r="M28" s="403"/>
      <c r="N28" s="59"/>
      <c r="O28" s="399"/>
      <c r="P28" s="19"/>
    </row>
    <row r="29" spans="2:16" ht="12.75">
      <c r="B29" s="18"/>
      <c r="C29" s="402"/>
      <c r="D29" s="403"/>
      <c r="E29" s="403"/>
      <c r="F29" s="403"/>
      <c r="G29" s="403"/>
      <c r="H29" s="403"/>
      <c r="I29" s="403"/>
      <c r="J29" s="403"/>
      <c r="K29" s="403"/>
      <c r="L29" s="403"/>
      <c r="M29" s="403"/>
      <c r="N29" s="59"/>
      <c r="O29" s="399"/>
      <c r="P29" s="19"/>
    </row>
    <row r="30" spans="2:16" ht="12.75">
      <c r="B30" s="18"/>
      <c r="C30" s="402"/>
      <c r="D30" s="403"/>
      <c r="E30" s="403"/>
      <c r="F30" s="403"/>
      <c r="G30" s="403"/>
      <c r="H30" s="403"/>
      <c r="I30" s="403"/>
      <c r="J30" s="403"/>
      <c r="K30" s="403"/>
      <c r="L30" s="403"/>
      <c r="M30" s="403"/>
      <c r="N30" s="59"/>
      <c r="O30" s="399"/>
      <c r="P30" s="19"/>
    </row>
    <row r="31" spans="2:16" ht="4.1500000000000004" customHeight="1">
      <c r="B31" s="18"/>
      <c r="C31" s="59"/>
      <c r="D31" s="194"/>
      <c r="E31" s="194"/>
      <c r="F31" s="194"/>
      <c r="G31" s="194"/>
      <c r="H31" s="95"/>
      <c r="I31" s="95"/>
      <c r="J31" s="95"/>
      <c r="K31" s="95"/>
      <c r="L31" s="95"/>
      <c r="M31" s="95"/>
      <c r="N31" s="59"/>
      <c r="O31" s="59"/>
      <c r="P31" s="19"/>
    </row>
    <row r="32" spans="2:16" ht="13.5" thickBot="1">
      <c r="B32" s="18"/>
      <c r="C32" s="186" t="s">
        <v>234</v>
      </c>
      <c r="D32" s="190">
        <f t="shared" ref="D32:M32" si="3">SUM(D$18:D$31)</f>
        <v>0</v>
      </c>
      <c r="E32" s="190">
        <f t="shared" si="3"/>
        <v>0</v>
      </c>
      <c r="F32" s="190">
        <f t="shared" si="3"/>
        <v>0</v>
      </c>
      <c r="G32" s="190">
        <f t="shared" si="3"/>
        <v>0</v>
      </c>
      <c r="H32" s="190">
        <f t="shared" si="3"/>
        <v>0</v>
      </c>
      <c r="I32" s="190">
        <f t="shared" si="3"/>
        <v>0</v>
      </c>
      <c r="J32" s="190">
        <f t="shared" si="3"/>
        <v>0</v>
      </c>
      <c r="K32" s="190">
        <f t="shared" si="3"/>
        <v>0</v>
      </c>
      <c r="L32" s="190">
        <f t="shared" si="3"/>
        <v>0</v>
      </c>
      <c r="M32" s="190">
        <f t="shared" si="3"/>
        <v>0</v>
      </c>
      <c r="N32" s="59"/>
      <c r="O32" s="59"/>
      <c r="P32" s="19"/>
    </row>
    <row r="33" spans="2:16" ht="13.5" thickTop="1">
      <c r="B33" s="20"/>
      <c r="C33" s="122"/>
      <c r="D33" s="122"/>
      <c r="E33" s="122"/>
      <c r="F33" s="122"/>
      <c r="G33" s="122"/>
      <c r="H33" s="122"/>
      <c r="I33" s="122"/>
      <c r="J33" s="122"/>
      <c r="K33" s="188"/>
      <c r="L33" s="188"/>
      <c r="M33" s="188"/>
      <c r="N33" s="188"/>
      <c r="O33" s="122"/>
      <c r="P33" s="24"/>
    </row>
    <row r="34" spans="2:16" ht="12.75">
      <c r="C34" s="96"/>
      <c r="D34" s="96"/>
      <c r="E34" s="96"/>
      <c r="F34" s="96"/>
      <c r="G34" s="96"/>
      <c r="H34" s="96"/>
      <c r="I34" s="96"/>
      <c r="J34" s="96"/>
      <c r="K34" s="96"/>
      <c r="L34" s="96"/>
      <c r="M34" s="96"/>
      <c r="N34" s="96"/>
      <c r="O34" s="96"/>
    </row>
    <row r="35" spans="2:16" ht="12.75">
      <c r="B35" s="104" t="s">
        <v>371</v>
      </c>
      <c r="C35" s="96"/>
      <c r="D35" s="96"/>
      <c r="E35" s="96"/>
      <c r="F35" s="96"/>
      <c r="G35" s="96"/>
      <c r="H35" s="96"/>
      <c r="I35" s="96"/>
      <c r="J35" s="96"/>
      <c r="K35" s="96"/>
      <c r="L35" s="96"/>
      <c r="M35" s="96"/>
      <c r="N35" s="96"/>
      <c r="O35" s="96"/>
    </row>
    <row r="36" spans="2:16" ht="12.75">
      <c r="B36" s="191"/>
      <c r="C36" s="117"/>
      <c r="D36" s="117"/>
      <c r="E36" s="117"/>
      <c r="F36" s="117"/>
      <c r="G36" s="117"/>
      <c r="H36" s="117"/>
      <c r="I36" s="117"/>
      <c r="J36" s="117"/>
      <c r="K36" s="117"/>
      <c r="L36" s="117"/>
      <c r="M36" s="117"/>
      <c r="N36" s="117"/>
      <c r="O36" s="117"/>
      <c r="P36" s="17"/>
    </row>
    <row r="37" spans="2:16" ht="25.5">
      <c r="B37" s="18"/>
      <c r="C37" s="59" t="s">
        <v>372</v>
      </c>
      <c r="D37" s="401" t="s">
        <v>373</v>
      </c>
      <c r="E37" s="401" t="s">
        <v>177</v>
      </c>
      <c r="F37" s="401" t="s">
        <v>278</v>
      </c>
      <c r="G37" s="401" t="s">
        <v>374</v>
      </c>
      <c r="H37" s="401" t="s">
        <v>276</v>
      </c>
      <c r="I37" s="401"/>
      <c r="J37" s="401"/>
      <c r="K37" s="401"/>
      <c r="L37" s="401"/>
      <c r="M37" s="401"/>
      <c r="N37" s="59"/>
      <c r="O37" s="400" t="s">
        <v>375</v>
      </c>
      <c r="P37" s="19"/>
    </row>
    <row r="38" spans="2:16" ht="4.1500000000000004" customHeight="1">
      <c r="B38" s="18"/>
      <c r="C38" s="59"/>
      <c r="D38" s="192"/>
      <c r="E38" s="192"/>
      <c r="F38" s="192"/>
      <c r="G38" s="192"/>
      <c r="H38" s="192"/>
      <c r="I38" s="192"/>
      <c r="J38" s="192"/>
      <c r="K38" s="192"/>
      <c r="L38" s="192"/>
      <c r="M38" s="192"/>
      <c r="N38" s="59"/>
      <c r="O38" s="59"/>
      <c r="P38" s="19"/>
    </row>
    <row r="39" spans="2:16" ht="25.5">
      <c r="B39" s="18"/>
      <c r="C39" s="59" t="s">
        <v>376</v>
      </c>
      <c r="D39" s="401"/>
      <c r="E39" s="401"/>
      <c r="F39" s="401"/>
      <c r="G39" s="401"/>
      <c r="H39" s="401"/>
      <c r="I39" s="401"/>
      <c r="J39" s="401"/>
      <c r="K39" s="401"/>
      <c r="L39" s="401"/>
      <c r="M39" s="401"/>
      <c r="N39" s="59"/>
      <c r="O39" s="400" t="s">
        <v>377</v>
      </c>
      <c r="P39" s="19"/>
    </row>
    <row r="40" spans="2:16">
      <c r="B40" s="20"/>
      <c r="C40" s="23"/>
      <c r="D40" s="23"/>
      <c r="E40" s="23"/>
      <c r="F40" s="23"/>
      <c r="G40" s="23"/>
      <c r="H40" s="23"/>
      <c r="I40" s="23"/>
      <c r="J40" s="23"/>
      <c r="K40" s="23"/>
      <c r="L40" s="23"/>
      <c r="M40" s="23"/>
      <c r="N40" s="23"/>
      <c r="O40" s="23"/>
      <c r="P40" s="24"/>
    </row>
  </sheetData>
  <sheetProtection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89646"/>
  </sheetPr>
  <dimension ref="B1:J20"/>
  <sheetViews>
    <sheetView showGridLines="0" zoomScaleNormal="100" workbookViewId="0">
      <selection activeCell="D47" sqref="D47"/>
    </sheetView>
  </sheetViews>
  <sheetFormatPr defaultRowHeight="11.25"/>
  <cols>
    <col min="1" max="1" width="4.6640625" customWidth="1"/>
    <col min="2" max="2" width="31.5" customWidth="1"/>
    <col min="3" max="8" width="18.1640625" customWidth="1"/>
    <col min="10" max="10" width="4.6640625" customWidth="1"/>
  </cols>
  <sheetData>
    <row r="1" spans="2:10" ht="16.5" thickBot="1">
      <c r="B1" s="364" t="e">
        <f ca="1">RIGHT(CELL("filename",B1),LEN(CELL("filename",B1))-FIND("]",CELL("filename",B1)))</f>
        <v>#VALUE!</v>
      </c>
      <c r="C1" s="4"/>
      <c r="D1" s="4"/>
      <c r="E1" s="4"/>
      <c r="F1" s="4"/>
      <c r="G1" s="4"/>
      <c r="H1" s="4"/>
      <c r="I1" s="4"/>
      <c r="J1" s="4"/>
    </row>
    <row r="2" spans="2:10" ht="12" thickTop="1"/>
    <row r="3" spans="2:10" ht="12.75">
      <c r="B3" s="264" t="s">
        <v>378</v>
      </c>
      <c r="C3" s="264"/>
      <c r="D3" s="264"/>
      <c r="E3" s="264"/>
      <c r="F3" s="264"/>
      <c r="G3" s="264"/>
      <c r="H3" s="264"/>
      <c r="I3" s="264"/>
    </row>
    <row r="4" spans="2:10" ht="4.1500000000000004" customHeight="1">
      <c r="B4" s="264"/>
      <c r="C4" s="264"/>
      <c r="D4" s="264"/>
      <c r="E4" s="264"/>
      <c r="F4" s="264"/>
      <c r="G4" s="264"/>
      <c r="H4" s="264"/>
      <c r="I4" s="264"/>
    </row>
    <row r="5" spans="2:10" ht="12.75">
      <c r="B5" s="264" t="s">
        <v>379</v>
      </c>
      <c r="C5" s="264"/>
      <c r="D5" s="264"/>
      <c r="E5" s="264"/>
      <c r="F5" s="264"/>
      <c r="G5" s="264"/>
      <c r="H5" s="264"/>
      <c r="I5" s="264"/>
    </row>
    <row r="7" spans="2:10" ht="25.5">
      <c r="B7" s="37" t="s">
        <v>380</v>
      </c>
      <c r="C7" s="38" t="s">
        <v>381</v>
      </c>
      <c r="D7" s="38" t="s">
        <v>382</v>
      </c>
      <c r="E7" s="38" t="s">
        <v>383</v>
      </c>
      <c r="F7" s="38" t="s">
        <v>384</v>
      </c>
      <c r="G7" s="39" t="s">
        <v>304</v>
      </c>
      <c r="H7" s="40" t="s">
        <v>385</v>
      </c>
    </row>
    <row r="8" spans="2:10" ht="4.1500000000000004" customHeight="1">
      <c r="B8" s="41"/>
      <c r="C8" s="42"/>
      <c r="D8" s="43"/>
      <c r="E8" s="43"/>
      <c r="F8" s="43"/>
      <c r="G8" s="43"/>
      <c r="H8" s="44"/>
    </row>
    <row r="9" spans="2:10" ht="12.75">
      <c r="B9" s="41" t="s">
        <v>220</v>
      </c>
      <c r="C9" s="45">
        <f>Tbl_SalariesWages[[#Totals],[Normalised]]</f>
        <v>0</v>
      </c>
      <c r="D9" s="46">
        <f>INDEX(Tbl_SalariesWages[Normalised],MATCH(D$7,Tbl_SalariesWages[Cemetery Services],0))</f>
        <v>0</v>
      </c>
      <c r="E9" s="46">
        <f>INDEX(Tbl_SalariesWages[Normalised],MATCH(E$7,Tbl_SalariesWages[Cemetery Services],0))</f>
        <v>0</v>
      </c>
      <c r="F9" s="46">
        <f>INDEX(Tbl_SalariesWages[Normalised],MATCH(F$7,Tbl_SalariesWages[Cemetery Services],0))</f>
        <v>0</v>
      </c>
      <c r="G9" s="46">
        <f>INDEX(Tbl_SalariesWages[Normalised],MATCH(G$7,Tbl_SalariesWages[Cemetery Services],0))</f>
        <v>0</v>
      </c>
      <c r="H9" s="47">
        <f>INDEX(Tbl_SalariesWages[Normalised],MATCH(H$7,Tbl_SalariesWages[Cemetery Services],0))</f>
        <v>0</v>
      </c>
      <c r="I9" s="35">
        <f t="shared" ref="I9:I18" si="0">$C9-SUM($D9:$H9)</f>
        <v>0</v>
      </c>
    </row>
    <row r="10" spans="2:10" ht="12.75">
      <c r="B10" s="41" t="s">
        <v>222</v>
      </c>
      <c r="C10" s="45">
        <f>Tbl_OnCosts[[#Totals],[Normalised]]</f>
        <v>0</v>
      </c>
      <c r="D10" s="46">
        <f t="shared" ref="D10:H10" si="1">IFERROR(D$9/$C$9*$C$10,0)</f>
        <v>0</v>
      </c>
      <c r="E10" s="46">
        <f t="shared" si="1"/>
        <v>0</v>
      </c>
      <c r="F10" s="46">
        <f t="shared" si="1"/>
        <v>0</v>
      </c>
      <c r="G10" s="46">
        <f t="shared" si="1"/>
        <v>0</v>
      </c>
      <c r="H10" s="47">
        <f t="shared" si="1"/>
        <v>0</v>
      </c>
      <c r="I10" s="35">
        <f t="shared" si="0"/>
        <v>0</v>
      </c>
    </row>
    <row r="11" spans="2:10" ht="12.75">
      <c r="B11" s="41" t="s">
        <v>270</v>
      </c>
      <c r="C11" s="45">
        <f>Tbl_GardenHort[[#Totals],[Normalised]]</f>
        <v>0</v>
      </c>
      <c r="D11" s="46"/>
      <c r="E11" s="46">
        <f>C11</f>
        <v>0</v>
      </c>
      <c r="F11" s="46"/>
      <c r="G11" s="46"/>
      <c r="H11" s="47"/>
      <c r="I11" s="35">
        <f t="shared" si="0"/>
        <v>0</v>
      </c>
    </row>
    <row r="12" spans="2:10" ht="12.75">
      <c r="B12" s="41" t="s">
        <v>299</v>
      </c>
      <c r="C12" s="45">
        <f>Tbl_Crem[[#Totals],[Normalised]]</f>
        <v>0</v>
      </c>
      <c r="D12" s="46"/>
      <c r="E12" s="46"/>
      <c r="F12" s="46">
        <f>C12</f>
        <v>0</v>
      </c>
      <c r="G12" s="46"/>
      <c r="H12" s="47"/>
      <c r="I12" s="35">
        <f t="shared" si="0"/>
        <v>0</v>
      </c>
    </row>
    <row r="13" spans="2:10" ht="12.75">
      <c r="B13" s="41" t="s">
        <v>224</v>
      </c>
      <c r="C13" s="45">
        <f>Tbl_Capital[[#Totals],[Capital Allocation]]</f>
        <v>0</v>
      </c>
      <c r="D13" s="46">
        <f>Tbl_Capital[[#Totals],[Interments]]</f>
        <v>0</v>
      </c>
      <c r="E13" s="46">
        <f>Tbl_Capital[[#Totals],[Ground Maintenance]]</f>
        <v>0</v>
      </c>
      <c r="F13" s="46">
        <f>Tbl_Capital[[#Totals],[Cremations]]</f>
        <v>0</v>
      </c>
      <c r="G13" s="46">
        <f>Tbl_Capital[[#Totals],[Other Services]]</f>
        <v>0</v>
      </c>
      <c r="H13" s="47">
        <f>Tbl_Capital[[#Totals],[Administration]]</f>
        <v>0</v>
      </c>
      <c r="I13" s="35">
        <f t="shared" si="0"/>
        <v>0</v>
      </c>
    </row>
    <row r="14" spans="2:10" ht="12.75">
      <c r="B14" s="41" t="s">
        <v>226</v>
      </c>
      <c r="C14" s="45">
        <f>Tbl_PE_OPEX[[#Totals],[Normalised]]</f>
        <v>0</v>
      </c>
      <c r="D14" s="46">
        <f t="shared" ref="D14:H14" si="2">IFERROR(D13/$C$13*$C$14,0)</f>
        <v>0</v>
      </c>
      <c r="E14" s="46">
        <f t="shared" si="2"/>
        <v>0</v>
      </c>
      <c r="F14" s="46">
        <f t="shared" si="2"/>
        <v>0</v>
      </c>
      <c r="G14" s="46">
        <f t="shared" si="2"/>
        <v>0</v>
      </c>
      <c r="H14" s="47">
        <f t="shared" si="2"/>
        <v>0</v>
      </c>
      <c r="I14" s="35">
        <f t="shared" si="0"/>
        <v>0</v>
      </c>
    </row>
    <row r="15" spans="2:10" ht="12.75">
      <c r="B15" s="41" t="s">
        <v>228</v>
      </c>
      <c r="C15" s="45">
        <f>Tbl_Other_OPEX[[#Totals],[Normalised]]</f>
        <v>0</v>
      </c>
      <c r="D15" s="46">
        <f>Tbl_Other_OPEX[[#Totals],[Interments]]</f>
        <v>0</v>
      </c>
      <c r="E15" s="46">
        <f>Tbl_Other_OPEX[[#Totals],[Ground Maintenance]]</f>
        <v>0</v>
      </c>
      <c r="F15" s="46">
        <f>Tbl_Other_OPEX[[#Totals],[Cremations]]</f>
        <v>0</v>
      </c>
      <c r="G15" s="46">
        <f>Tbl_Other_OPEX[[#Totals],[Other Services]]</f>
        <v>0</v>
      </c>
      <c r="H15" s="47">
        <f>Tbl_Other_OPEX[[#Totals],[Administration]]</f>
        <v>0</v>
      </c>
      <c r="I15" s="35">
        <f t="shared" si="0"/>
        <v>0</v>
      </c>
    </row>
    <row r="16" spans="2:10" ht="12.75">
      <c r="B16" s="41" t="s">
        <v>230</v>
      </c>
      <c r="C16" s="45">
        <f>SUM(D16:H16)</f>
        <v>0</v>
      </c>
      <c r="D16" s="46">
        <f>TBL_PassThroughCosts[[#Totals],[Interments]]</f>
        <v>0</v>
      </c>
      <c r="E16" s="46">
        <f>TBL_PassThroughCosts[[#Totals],[Ground Maintenance]]</f>
        <v>0</v>
      </c>
      <c r="F16" s="46">
        <f>TBL_PassThroughCosts[[#Totals],[Cremations]]</f>
        <v>0</v>
      </c>
      <c r="G16" s="46">
        <f>TBL_PassThroughCosts[[#Totals],[Other Services]]</f>
        <v>0</v>
      </c>
      <c r="H16" s="47">
        <f>TBL_PassThroughCosts[[#Totals],[Administration]]</f>
        <v>0</v>
      </c>
      <c r="I16" s="35">
        <f t="shared" si="0"/>
        <v>0</v>
      </c>
    </row>
    <row r="17" spans="2:9" ht="12.75">
      <c r="B17" s="41" t="s">
        <v>386</v>
      </c>
      <c r="C17" s="45">
        <f>Tbl_Admin[[#Totals],[Normalised]]</f>
        <v>0</v>
      </c>
      <c r="D17" s="46"/>
      <c r="E17" s="46"/>
      <c r="F17" s="46"/>
      <c r="G17" s="46"/>
      <c r="H17" s="47">
        <f>C17</f>
        <v>0</v>
      </c>
      <c r="I17" s="35">
        <f t="shared" si="0"/>
        <v>0</v>
      </c>
    </row>
    <row r="18" spans="2:9" ht="12.75">
      <c r="B18" s="48" t="s">
        <v>232</v>
      </c>
      <c r="C18" s="45"/>
      <c r="D18" s="49">
        <f>IFERROR(D9/SUM($D$9:$G$9)*-$H$18,0)</f>
        <v>0</v>
      </c>
      <c r="E18" s="49">
        <f>IFERROR(E9/SUM($D$9:$G$9)*-$H$18,0)</f>
        <v>0</v>
      </c>
      <c r="F18" s="49">
        <f>IFERROR(F9/SUM($D$9:$G$9)*-$H$18,0)</f>
        <v>0</v>
      </c>
      <c r="G18" s="49">
        <f>IFERROR(G9/SUM($D$9:$G$9)*-$H$18,0)</f>
        <v>0</v>
      </c>
      <c r="H18" s="50">
        <f>-SUM($H$8:$H$17)</f>
        <v>0</v>
      </c>
      <c r="I18" s="35">
        <f t="shared" si="0"/>
        <v>0</v>
      </c>
    </row>
    <row r="19" spans="2:9" ht="4.1500000000000004" customHeight="1">
      <c r="B19" s="51"/>
      <c r="C19" s="52"/>
      <c r="D19" s="53"/>
      <c r="E19" s="53"/>
      <c r="F19" s="53"/>
      <c r="G19" s="53"/>
      <c r="H19" s="54"/>
      <c r="I19" s="35"/>
    </row>
    <row r="20" spans="2:9" ht="12.75">
      <c r="B20" s="55" t="s">
        <v>387</v>
      </c>
      <c r="C20" s="56">
        <f t="shared" ref="C20:H20" si="3">SUM(C8:C19)</f>
        <v>0</v>
      </c>
      <c r="D20" s="56">
        <f t="shared" si="3"/>
        <v>0</v>
      </c>
      <c r="E20" s="56">
        <f t="shared" si="3"/>
        <v>0</v>
      </c>
      <c r="F20" s="56">
        <f t="shared" si="3"/>
        <v>0</v>
      </c>
      <c r="G20" s="56">
        <f t="shared" si="3"/>
        <v>0</v>
      </c>
      <c r="H20" s="57">
        <f t="shared" si="3"/>
        <v>0</v>
      </c>
      <c r="I20" s="35">
        <f>$C20-SUM($D20:$H20)</f>
        <v>0</v>
      </c>
    </row>
  </sheetData>
  <sheetProtection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FFCD99"/>
  </sheetPr>
  <dimension ref="B1:G22"/>
  <sheetViews>
    <sheetView showGridLines="0" zoomScaleNormal="100" workbookViewId="0">
      <selection activeCell="C22" sqref="C22"/>
    </sheetView>
  </sheetViews>
  <sheetFormatPr defaultRowHeight="11.25"/>
  <cols>
    <col min="1" max="1" width="4.6640625" customWidth="1"/>
    <col min="2" max="2" width="33.83203125" customWidth="1"/>
    <col min="3" max="5" width="18.5" customWidth="1"/>
    <col min="6" max="6" width="79.5" customWidth="1"/>
    <col min="7" max="7" width="4.6640625" customWidth="1"/>
  </cols>
  <sheetData>
    <row r="1" spans="2:7" ht="16.5" thickBot="1">
      <c r="B1" s="364" t="e">
        <f ca="1">RIGHT(CELL("filename",B1),LEN(CELL("filename",B1))-FIND("]",CELL("filename",B1)))</f>
        <v>#VALUE!</v>
      </c>
      <c r="C1" s="4"/>
      <c r="D1" s="4"/>
      <c r="E1" s="4"/>
      <c r="F1" s="4"/>
      <c r="G1" s="4"/>
    </row>
    <row r="2" spans="2:7" ht="12" thickTop="1"/>
    <row r="3" spans="2:7" ht="12.75">
      <c r="B3" s="339" t="s">
        <v>388</v>
      </c>
      <c r="C3" s="339"/>
      <c r="D3" s="339"/>
      <c r="E3" s="339"/>
      <c r="F3" s="339"/>
    </row>
    <row r="4" spans="2:7" ht="12.75">
      <c r="B4" s="339"/>
      <c r="C4" s="339"/>
      <c r="D4" s="339"/>
      <c r="E4" s="339"/>
      <c r="F4" s="339"/>
    </row>
    <row r="5" spans="2:7" ht="12.75">
      <c r="B5" s="339" t="s">
        <v>209</v>
      </c>
      <c r="C5" s="339"/>
      <c r="D5" s="339"/>
      <c r="E5" s="339"/>
      <c r="F5" s="339"/>
    </row>
    <row r="6" spans="2:7" ht="12.75">
      <c r="B6" s="341" t="s">
        <v>389</v>
      </c>
      <c r="C6" s="340"/>
      <c r="D6" s="340"/>
      <c r="E6" s="340"/>
      <c r="F6" s="340"/>
    </row>
    <row r="7" spans="2:7" ht="12.75">
      <c r="B7" s="342" t="s">
        <v>390</v>
      </c>
      <c r="C7" s="340"/>
      <c r="D7" s="340"/>
      <c r="E7" s="340"/>
      <c r="F7" s="340"/>
    </row>
    <row r="8" spans="2:7" ht="12.75">
      <c r="B8" s="342" t="s">
        <v>391</v>
      </c>
      <c r="C8" s="340"/>
      <c r="D8" s="340"/>
      <c r="E8" s="340"/>
      <c r="F8" s="340"/>
    </row>
    <row r="9" spans="2:7" ht="12.75">
      <c r="B9" s="342" t="s">
        <v>392</v>
      </c>
      <c r="C9" s="340"/>
      <c r="D9" s="340"/>
      <c r="E9" s="340"/>
      <c r="F9" s="340"/>
    </row>
    <row r="10" spans="2:7" ht="12.75">
      <c r="B10" s="342" t="s">
        <v>393</v>
      </c>
      <c r="C10" s="340"/>
      <c r="D10" s="340"/>
      <c r="E10" s="340"/>
      <c r="F10" s="340"/>
    </row>
    <row r="11" spans="2:7" ht="12.75">
      <c r="B11" s="342" t="s">
        <v>394</v>
      </c>
      <c r="C11" s="340"/>
      <c r="D11" s="340"/>
      <c r="E11" s="340"/>
      <c r="F11" s="340"/>
    </row>
    <row r="12" spans="2:7" ht="12.75">
      <c r="B12" s="341" t="s">
        <v>395</v>
      </c>
      <c r="C12" s="340"/>
      <c r="D12" s="340"/>
      <c r="E12" s="340"/>
      <c r="F12" s="340"/>
    </row>
    <row r="13" spans="2:7" ht="12.75">
      <c r="B13" s="404" t="s">
        <v>396</v>
      </c>
      <c r="C13" s="340"/>
      <c r="D13" s="340"/>
      <c r="E13" s="340"/>
      <c r="F13" s="340"/>
    </row>
    <row r="15" spans="2:7" ht="15">
      <c r="B15" s="106" t="s">
        <v>220</v>
      </c>
    </row>
    <row r="16" spans="2:7" ht="12.75">
      <c r="B16" s="78" t="s">
        <v>397</v>
      </c>
      <c r="C16" s="84" t="s">
        <v>398</v>
      </c>
      <c r="D16" s="84" t="s">
        <v>399</v>
      </c>
      <c r="E16" s="84" t="s">
        <v>381</v>
      </c>
      <c r="F16" s="80" t="s">
        <v>126</v>
      </c>
    </row>
    <row r="17" spans="2:6" ht="12.75">
      <c r="B17" s="81" t="s">
        <v>382</v>
      </c>
      <c r="C17" s="71"/>
      <c r="D17" s="71"/>
      <c r="E17" s="85">
        <f>Tbl_SalariesWages[[#This Row],[12 Month Total]]+Tbl_SalariesWages[[#This Row],[Adjustments]]</f>
        <v>0</v>
      </c>
      <c r="F17" s="83" t="s">
        <v>400</v>
      </c>
    </row>
    <row r="18" spans="2:6" ht="12.75">
      <c r="B18" s="81" t="s">
        <v>383</v>
      </c>
      <c r="C18" s="71"/>
      <c r="D18" s="71"/>
      <c r="E18" s="85">
        <f>Tbl_SalariesWages[[#This Row],[12 Month Total]]+Tbl_SalariesWages[[#This Row],[Adjustments]]</f>
        <v>0</v>
      </c>
      <c r="F18" s="83" t="s">
        <v>400</v>
      </c>
    </row>
    <row r="19" spans="2:6" ht="12.75">
      <c r="B19" s="81" t="s">
        <v>384</v>
      </c>
      <c r="C19" s="71"/>
      <c r="D19" s="71"/>
      <c r="E19" s="85">
        <f>Tbl_SalariesWages[[#This Row],[12 Month Total]]+Tbl_SalariesWages[[#This Row],[Adjustments]]</f>
        <v>0</v>
      </c>
      <c r="F19" s="83" t="s">
        <v>401</v>
      </c>
    </row>
    <row r="20" spans="2:6" ht="12.75">
      <c r="B20" s="81" t="s">
        <v>304</v>
      </c>
      <c r="C20" s="71"/>
      <c r="D20" s="71"/>
      <c r="E20" s="85">
        <f>Tbl_SalariesWages[[#This Row],[12 Month Total]]+Tbl_SalariesWages[[#This Row],[Adjustments]]</f>
        <v>0</v>
      </c>
      <c r="F20" s="83" t="s">
        <v>402</v>
      </c>
    </row>
    <row r="21" spans="2:6" ht="13.5" thickBot="1">
      <c r="B21" s="81" t="s">
        <v>385</v>
      </c>
      <c r="C21" s="71"/>
      <c r="D21" s="71"/>
      <c r="E21" s="85">
        <f>Tbl_SalariesWages[[#This Row],[12 Month Total]]+Tbl_SalariesWages[[#This Row],[Adjustments]]</f>
        <v>0</v>
      </c>
      <c r="F21" s="83" t="s">
        <v>403</v>
      </c>
    </row>
    <row r="22" spans="2:6" ht="13.5" thickTop="1">
      <c r="B22" s="67" t="s">
        <v>159</v>
      </c>
      <c r="C22" s="69">
        <f>SUBTOTAL(109,Tbl_SalariesWages[12 Month Total])</f>
        <v>0</v>
      </c>
      <c r="D22" s="69">
        <f>SUBTOTAL(109,Tbl_SalariesWages[Adjustments])</f>
        <v>0</v>
      </c>
      <c r="E22" s="69">
        <f>SUBTOTAL(109,Tbl_SalariesWages[Normalised])</f>
        <v>0</v>
      </c>
      <c r="F22" s="68"/>
    </row>
  </sheetData>
  <sheetProtection sheet="1" objects="1" scenarios="1"/>
  <pageMargins left="0.7" right="0.7" top="0.75" bottom="0.75" header="0.3" footer="0.3"/>
  <pageSetup paperSize="9" orientation="portrait" verticalDpi="0" r:id="rId1"/>
  <legacy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rgb="FFFFCD99"/>
  </sheetPr>
  <dimension ref="B1:G82"/>
  <sheetViews>
    <sheetView showGridLines="0" topLeftCell="A39" zoomScaleNormal="100" workbookViewId="0">
      <selection activeCell="C15" sqref="C15"/>
    </sheetView>
  </sheetViews>
  <sheetFormatPr defaultRowHeight="11.25"/>
  <cols>
    <col min="1" max="1" width="4.6640625" customWidth="1"/>
    <col min="2" max="2" width="33.83203125" customWidth="1"/>
    <col min="3" max="5" width="18.5" customWidth="1"/>
    <col min="6" max="6" width="79.5" customWidth="1"/>
    <col min="7" max="7" width="4.6640625" customWidth="1"/>
  </cols>
  <sheetData>
    <row r="1" spans="2:7" ht="16.5" thickBot="1">
      <c r="B1" s="364" t="e">
        <f ca="1">RIGHT(CELL("filename",B1),LEN(CELL("filename",B1))-FIND("]",CELL("filename",B1)))</f>
        <v>#VALUE!</v>
      </c>
      <c r="C1" s="4"/>
      <c r="D1" s="4"/>
      <c r="E1" s="4"/>
      <c r="F1" s="4"/>
      <c r="G1" s="4"/>
    </row>
    <row r="2" spans="2:7" ht="12" thickTop="1"/>
    <row r="3" spans="2:7" ht="12.75">
      <c r="B3" s="264" t="s">
        <v>404</v>
      </c>
      <c r="C3" s="255"/>
      <c r="D3" s="255"/>
      <c r="E3" s="255"/>
      <c r="F3" s="255"/>
    </row>
    <row r="4" spans="2:7" ht="4.1500000000000004" customHeight="1"/>
    <row r="5" spans="2:7" ht="12.75">
      <c r="B5" s="264" t="s">
        <v>405</v>
      </c>
      <c r="C5" s="255"/>
      <c r="D5" s="255"/>
      <c r="E5" s="255"/>
      <c r="F5" s="255"/>
    </row>
    <row r="7" spans="2:7" ht="12.75">
      <c r="B7" s="105" t="s">
        <v>406</v>
      </c>
    </row>
    <row r="8" spans="2:7" ht="12.75">
      <c r="B8" s="78" t="s">
        <v>222</v>
      </c>
      <c r="C8" s="79" t="s">
        <v>398</v>
      </c>
      <c r="D8" s="79" t="s">
        <v>399</v>
      </c>
      <c r="E8" s="79" t="s">
        <v>381</v>
      </c>
      <c r="F8" s="80" t="s">
        <v>330</v>
      </c>
    </row>
    <row r="9" spans="2:7" ht="12.75">
      <c r="B9" s="81" t="s">
        <v>407</v>
      </c>
      <c r="C9" s="64"/>
      <c r="D9" s="64"/>
      <c r="E9" s="82">
        <f>Tbl_OnCosts[[#This Row],[12 Month Total]]+Tbl_OnCosts[[#This Row],[Adjustments]]</f>
        <v>0</v>
      </c>
      <c r="F9" s="83"/>
    </row>
    <row r="10" spans="2:7" ht="12.75">
      <c r="B10" s="81" t="s">
        <v>408</v>
      </c>
      <c r="C10" s="64"/>
      <c r="D10" s="64"/>
      <c r="E10" s="82">
        <f>Tbl_OnCosts[[#This Row],[12 Month Total]]+Tbl_OnCosts[[#This Row],[Adjustments]]</f>
        <v>0</v>
      </c>
      <c r="F10" s="83"/>
    </row>
    <row r="11" spans="2:7" ht="12.75">
      <c r="B11" s="81" t="s">
        <v>409</v>
      </c>
      <c r="C11" s="64"/>
      <c r="D11" s="64"/>
      <c r="E11" s="82">
        <f>Tbl_OnCosts[[#This Row],[12 Month Total]]+Tbl_OnCosts[[#This Row],[Adjustments]]</f>
        <v>0</v>
      </c>
      <c r="F11" s="83"/>
    </row>
    <row r="12" spans="2:7" ht="12.75">
      <c r="B12" s="81" t="s">
        <v>410</v>
      </c>
      <c r="C12" s="64"/>
      <c r="D12" s="64"/>
      <c r="E12" s="82">
        <f>Tbl_OnCosts[[#This Row],[12 Month Total]]+Tbl_OnCosts[[#This Row],[Adjustments]]</f>
        <v>0</v>
      </c>
      <c r="F12" s="83"/>
    </row>
    <row r="13" spans="2:7" ht="12.75">
      <c r="B13" s="81" t="s">
        <v>411</v>
      </c>
      <c r="C13" s="64"/>
      <c r="D13" s="64"/>
      <c r="E13" s="82">
        <f>Tbl_OnCosts[[#This Row],[12 Month Total]]+Tbl_OnCosts[[#This Row],[Adjustments]]</f>
        <v>0</v>
      </c>
      <c r="F13" s="83"/>
    </row>
    <row r="14" spans="2:7" ht="12.75">
      <c r="B14" s="81" t="s">
        <v>412</v>
      </c>
      <c r="C14" s="64"/>
      <c r="D14" s="64"/>
      <c r="E14" s="82">
        <f>Tbl_OnCosts[[#This Row],[12 Month Total]]+Tbl_OnCosts[[#This Row],[Adjustments]]</f>
        <v>0</v>
      </c>
      <c r="F14" s="83"/>
    </row>
    <row r="15" spans="2:7" ht="12.75">
      <c r="B15" s="81" t="s">
        <v>413</v>
      </c>
      <c r="C15" s="64"/>
      <c r="D15" s="64"/>
      <c r="E15" s="82">
        <f>Tbl_OnCosts[[#This Row],[12 Month Total]]+Tbl_OnCosts[[#This Row],[Adjustments]]</f>
        <v>0</v>
      </c>
      <c r="F15" s="83"/>
    </row>
    <row r="16" spans="2:7" ht="12.75">
      <c r="B16" s="81" t="s">
        <v>414</v>
      </c>
      <c r="C16" s="64"/>
      <c r="D16" s="64"/>
      <c r="E16" s="82">
        <f>Tbl_OnCosts[[#This Row],[12 Month Total]]+Tbl_OnCosts[[#This Row],[Adjustments]]</f>
        <v>0</v>
      </c>
      <c r="F16" s="83"/>
    </row>
    <row r="17" spans="2:6" ht="12.75">
      <c r="B17" s="81" t="s">
        <v>415</v>
      </c>
      <c r="C17" s="64"/>
      <c r="D17" s="64"/>
      <c r="E17" s="82">
        <f>Tbl_OnCosts[[#This Row],[12 Month Total]]+Tbl_OnCosts[[#This Row],[Adjustments]]</f>
        <v>0</v>
      </c>
      <c r="F17" s="83"/>
    </row>
    <row r="18" spans="2:6" ht="12.75">
      <c r="B18" s="81" t="s">
        <v>416</v>
      </c>
      <c r="C18" s="64"/>
      <c r="D18" s="64"/>
      <c r="E18" s="82">
        <f>Tbl_OnCosts[[#This Row],[12 Month Total]]+Tbl_OnCosts[[#This Row],[Adjustments]]</f>
        <v>0</v>
      </c>
      <c r="F18" s="83"/>
    </row>
    <row r="19" spans="2:6" ht="13.5" thickBot="1">
      <c r="B19" s="81" t="s">
        <v>417</v>
      </c>
      <c r="C19" s="64"/>
      <c r="D19" s="64"/>
      <c r="E19" s="82">
        <f>Tbl_OnCosts[[#This Row],[12 Month Total]]+Tbl_OnCosts[[#This Row],[Adjustments]]</f>
        <v>0</v>
      </c>
      <c r="F19" s="83"/>
    </row>
    <row r="20" spans="2:6" ht="13.5" thickTop="1">
      <c r="B20" s="67" t="s">
        <v>159</v>
      </c>
      <c r="C20" s="70">
        <f>SUBTOTAL(109,Tbl_OnCosts[12 Month Total])</f>
        <v>0</v>
      </c>
      <c r="D20" s="70">
        <f>SUBTOTAL(109,Tbl_OnCosts[Adjustments])</f>
        <v>0</v>
      </c>
      <c r="E20" s="70">
        <f>SUBTOTAL(109,Tbl_OnCosts[Normalised])</f>
        <v>0</v>
      </c>
      <c r="F20" s="68"/>
    </row>
    <row r="21" spans="2:6">
      <c r="B21" s="6" t="s">
        <v>350</v>
      </c>
    </row>
    <row r="22" spans="2:6">
      <c r="B22" s="6"/>
    </row>
    <row r="23" spans="2:6" ht="12.75">
      <c r="B23" s="105" t="s">
        <v>418</v>
      </c>
    </row>
    <row r="24" spans="2:6" ht="12.75">
      <c r="B24" s="78" t="s">
        <v>270</v>
      </c>
      <c r="C24" s="84" t="s">
        <v>398</v>
      </c>
      <c r="D24" s="84" t="s">
        <v>399</v>
      </c>
      <c r="E24" s="84" t="s">
        <v>381</v>
      </c>
      <c r="F24" s="80" t="s">
        <v>330</v>
      </c>
    </row>
    <row r="25" spans="2:6" ht="12.75">
      <c r="B25" s="81" t="s">
        <v>419</v>
      </c>
      <c r="C25" s="71"/>
      <c r="D25" s="71"/>
      <c r="E25" s="85">
        <f>Tbl_GardenHort[[#This Row],[12 Month Total]]+Tbl_GardenHort[[#This Row],[Adjustments]]</f>
        <v>0</v>
      </c>
      <c r="F25" s="83"/>
    </row>
    <row r="26" spans="2:6" ht="12.75">
      <c r="B26" s="81" t="s">
        <v>420</v>
      </c>
      <c r="C26" s="71"/>
      <c r="D26" s="71"/>
      <c r="E26" s="85">
        <f>Tbl_GardenHort[[#This Row],[12 Month Total]]+Tbl_GardenHort[[#This Row],[Adjustments]]</f>
        <v>0</v>
      </c>
      <c r="F26" s="83"/>
    </row>
    <row r="27" spans="2:6" ht="12.75">
      <c r="B27" s="81" t="s">
        <v>421</v>
      </c>
      <c r="C27" s="71"/>
      <c r="D27" s="71"/>
      <c r="E27" s="85">
        <f>Tbl_GardenHort[[#This Row],[12 Month Total]]+Tbl_GardenHort[[#This Row],[Adjustments]]</f>
        <v>0</v>
      </c>
      <c r="F27" s="83"/>
    </row>
    <row r="28" spans="2:6" ht="12.75">
      <c r="B28" s="81" t="s">
        <v>422</v>
      </c>
      <c r="C28" s="71"/>
      <c r="D28" s="71"/>
      <c r="E28" s="85">
        <f>Tbl_GardenHort[[#This Row],[12 Month Total]]+Tbl_GardenHort[[#This Row],[Adjustments]]</f>
        <v>0</v>
      </c>
      <c r="F28" s="83"/>
    </row>
    <row r="29" spans="2:6" ht="12.75">
      <c r="B29" s="81" t="s">
        <v>423</v>
      </c>
      <c r="C29" s="71"/>
      <c r="D29" s="71"/>
      <c r="E29" s="85">
        <f>Tbl_GardenHort[[#This Row],[12 Month Total]]+Tbl_GardenHort[[#This Row],[Adjustments]]</f>
        <v>0</v>
      </c>
      <c r="F29" s="83"/>
    </row>
    <row r="30" spans="2:6" ht="12.75">
      <c r="B30" s="81" t="s">
        <v>424</v>
      </c>
      <c r="C30" s="71"/>
      <c r="D30" s="71"/>
      <c r="E30" s="85">
        <f>Tbl_GardenHort[[#This Row],[12 Month Total]]+Tbl_GardenHort[[#This Row],[Adjustments]]</f>
        <v>0</v>
      </c>
      <c r="F30" s="83"/>
    </row>
    <row r="31" spans="2:6" ht="12.75">
      <c r="B31" s="81" t="s">
        <v>425</v>
      </c>
      <c r="C31" s="71"/>
      <c r="D31" s="71"/>
      <c r="E31" s="85">
        <f>Tbl_GardenHort[[#This Row],[12 Month Total]]+Tbl_GardenHort[[#This Row],[Adjustments]]</f>
        <v>0</v>
      </c>
      <c r="F31" s="83"/>
    </row>
    <row r="32" spans="2:6" ht="12.75">
      <c r="B32" s="81" t="s">
        <v>426</v>
      </c>
      <c r="C32" s="71"/>
      <c r="D32" s="71"/>
      <c r="E32" s="85">
        <f>Tbl_GardenHort[[#This Row],[12 Month Total]]+Tbl_GardenHort[[#This Row],[Adjustments]]</f>
        <v>0</v>
      </c>
      <c r="F32" s="83"/>
    </row>
    <row r="33" spans="2:6" ht="12.75">
      <c r="B33" s="81" t="s">
        <v>427</v>
      </c>
      <c r="C33" s="71"/>
      <c r="D33" s="71"/>
      <c r="E33" s="85">
        <f>Tbl_GardenHort[[#This Row],[12 Month Total]]+Tbl_GardenHort[[#This Row],[Adjustments]]</f>
        <v>0</v>
      </c>
      <c r="F33" s="83"/>
    </row>
    <row r="34" spans="2:6" ht="13.5" thickBot="1">
      <c r="B34" s="81" t="s">
        <v>428</v>
      </c>
      <c r="C34" s="71"/>
      <c r="D34" s="71"/>
      <c r="E34" s="85">
        <f>Tbl_GardenHort[[#This Row],[12 Month Total]]+Tbl_GardenHort[[#This Row],[Adjustments]]</f>
        <v>0</v>
      </c>
      <c r="F34" s="83"/>
    </row>
    <row r="35" spans="2:6" ht="13.5" thickTop="1">
      <c r="B35" s="67" t="s">
        <v>159</v>
      </c>
      <c r="C35" s="69">
        <f>SUBTOTAL(109,Tbl_GardenHort[12 Month Total])</f>
        <v>0</v>
      </c>
      <c r="D35" s="69">
        <f>SUBTOTAL(109,Tbl_GardenHort[Adjustments])</f>
        <v>0</v>
      </c>
      <c r="E35" s="69">
        <f>SUBTOTAL(109,Tbl_GardenHort[Normalised])</f>
        <v>0</v>
      </c>
      <c r="F35" s="68"/>
    </row>
    <row r="36" spans="2:6">
      <c r="B36" s="6" t="s">
        <v>350</v>
      </c>
    </row>
    <row r="37" spans="2:6">
      <c r="B37" s="6"/>
    </row>
    <row r="38" spans="2:6" ht="12.75">
      <c r="B38" s="105" t="s">
        <v>429</v>
      </c>
    </row>
    <row r="39" spans="2:6" ht="12.75">
      <c r="B39" s="91" t="s">
        <v>299</v>
      </c>
      <c r="C39" s="84" t="s">
        <v>398</v>
      </c>
      <c r="D39" s="84" t="s">
        <v>399</v>
      </c>
      <c r="E39" s="84" t="s">
        <v>381</v>
      </c>
      <c r="F39" s="92" t="s">
        <v>330</v>
      </c>
    </row>
    <row r="40" spans="2:6" ht="12.75">
      <c r="B40" s="86" t="s">
        <v>430</v>
      </c>
      <c r="C40" s="71"/>
      <c r="D40" s="71"/>
      <c r="E40" s="85">
        <f>Tbl_Crem[[#This Row],[12 Month Total]]+Tbl_Crem[[#This Row],[Adjustments]]</f>
        <v>0</v>
      </c>
      <c r="F40" s="87"/>
    </row>
    <row r="41" spans="2:6" ht="12.75">
      <c r="B41" s="86" t="s">
        <v>431</v>
      </c>
      <c r="C41" s="71"/>
      <c r="D41" s="71"/>
      <c r="E41" s="85">
        <f>Tbl_Crem[[#This Row],[12 Month Total]]+Tbl_Crem[[#This Row],[Adjustments]]</f>
        <v>0</v>
      </c>
      <c r="F41" s="87"/>
    </row>
    <row r="42" spans="2:6" ht="12.75">
      <c r="B42" s="86"/>
      <c r="C42" s="71"/>
      <c r="D42" s="71"/>
      <c r="E42" s="85">
        <f>Tbl_Crem[[#This Row],[12 Month Total]]+Tbl_Crem[[#This Row],[Adjustments]]</f>
        <v>0</v>
      </c>
      <c r="F42" s="88"/>
    </row>
    <row r="43" spans="2:6" ht="12.75">
      <c r="B43" s="86"/>
      <c r="C43" s="71"/>
      <c r="D43" s="71"/>
      <c r="E43" s="85">
        <f>Tbl_Crem[[#This Row],[12 Month Total]]+Tbl_Crem[[#This Row],[Adjustments]]</f>
        <v>0</v>
      </c>
      <c r="F43" s="88"/>
    </row>
    <row r="44" spans="2:6" ht="13.5" thickBot="1">
      <c r="B44" s="86"/>
      <c r="C44" s="71"/>
      <c r="D44" s="71"/>
      <c r="E44" s="85">
        <f>Tbl_Crem[[#This Row],[12 Month Total]]+Tbl_Crem[[#This Row],[Adjustments]]</f>
        <v>0</v>
      </c>
      <c r="F44" s="88"/>
    </row>
    <row r="45" spans="2:6" ht="13.5" thickTop="1">
      <c r="B45" s="89" t="s">
        <v>159</v>
      </c>
      <c r="C45" s="69">
        <f>SUBTOTAL(109,Tbl_Crem[12 Month Total])</f>
        <v>0</v>
      </c>
      <c r="D45" s="69">
        <f>SUBTOTAL(109,Tbl_Crem[Adjustments])</f>
        <v>0</v>
      </c>
      <c r="E45" s="69">
        <f>SUBTOTAL(109,Tbl_Crem[Normalised])</f>
        <v>0</v>
      </c>
      <c r="F45" s="90"/>
    </row>
    <row r="46" spans="2:6">
      <c r="B46" s="6" t="s">
        <v>350</v>
      </c>
    </row>
    <row r="47" spans="2:6">
      <c r="B47" s="6"/>
    </row>
    <row r="48" spans="2:6" ht="12.75">
      <c r="B48" s="105" t="s">
        <v>432</v>
      </c>
    </row>
    <row r="49" spans="2:6" ht="12.75">
      <c r="B49" s="78" t="s">
        <v>433</v>
      </c>
      <c r="C49" s="84" t="s">
        <v>398</v>
      </c>
      <c r="D49" s="84" t="s">
        <v>399</v>
      </c>
      <c r="E49" s="84" t="s">
        <v>381</v>
      </c>
      <c r="F49" s="80" t="s">
        <v>330</v>
      </c>
    </row>
    <row r="50" spans="2:6" ht="12.75">
      <c r="B50" s="81" t="s">
        <v>434</v>
      </c>
      <c r="C50" s="71"/>
      <c r="D50" s="71"/>
      <c r="E50" s="85">
        <f>Tbl_PE_OPEX[[#This Row],[12 Month Total]]+Tbl_PE_OPEX[[#This Row],[Adjustments]]</f>
        <v>0</v>
      </c>
      <c r="F50" s="83"/>
    </row>
    <row r="51" spans="2:6" ht="12.75">
      <c r="B51" s="81" t="s">
        <v>435</v>
      </c>
      <c r="C51" s="71"/>
      <c r="D51" s="71"/>
      <c r="E51" s="85">
        <f>Tbl_PE_OPEX[[#This Row],[12 Month Total]]+Tbl_PE_OPEX[[#This Row],[Adjustments]]</f>
        <v>0</v>
      </c>
      <c r="F51" s="83"/>
    </row>
    <row r="52" spans="2:6" ht="12.75">
      <c r="B52" s="81" t="s">
        <v>436</v>
      </c>
      <c r="C52" s="71"/>
      <c r="D52" s="71"/>
      <c r="E52" s="85">
        <f>Tbl_PE_OPEX[[#This Row],[12 Month Total]]+Tbl_PE_OPEX[[#This Row],[Adjustments]]</f>
        <v>0</v>
      </c>
      <c r="F52" s="83"/>
    </row>
    <row r="53" spans="2:6" ht="12.75">
      <c r="B53" s="81" t="s">
        <v>433</v>
      </c>
      <c r="C53" s="71"/>
      <c r="D53" s="71"/>
      <c r="E53" s="85">
        <f>Tbl_PE_OPEX[[#This Row],[12 Month Total]]+Tbl_PE_OPEX[[#This Row],[Adjustments]]</f>
        <v>0</v>
      </c>
      <c r="F53" s="83"/>
    </row>
    <row r="54" spans="2:6" ht="13.5" thickBot="1">
      <c r="B54" s="81" t="s">
        <v>437</v>
      </c>
      <c r="C54" s="71"/>
      <c r="D54" s="71"/>
      <c r="E54" s="85">
        <f>Tbl_PE_OPEX[[#This Row],[12 Month Total]]+Tbl_PE_OPEX[[#This Row],[Adjustments]]</f>
        <v>0</v>
      </c>
      <c r="F54" s="83"/>
    </row>
    <row r="55" spans="2:6" ht="13.5" thickTop="1">
      <c r="B55" s="67" t="s">
        <v>159</v>
      </c>
      <c r="C55" s="69">
        <f>SUBTOTAL(109,Tbl_PE_OPEX[12 Month Total])</f>
        <v>0</v>
      </c>
      <c r="D55" s="69">
        <f>SUBTOTAL(109,Tbl_PE_OPEX[Adjustments])</f>
        <v>0</v>
      </c>
      <c r="E55" s="69">
        <f>SUBTOTAL(109,Tbl_PE_OPEX[Normalised])</f>
        <v>0</v>
      </c>
      <c r="F55" s="68"/>
    </row>
    <row r="56" spans="2:6">
      <c r="B56" s="6" t="s">
        <v>350</v>
      </c>
    </row>
    <row r="57" spans="2:6">
      <c r="B57" s="6"/>
    </row>
    <row r="58" spans="2:6" ht="12.75">
      <c r="B58" s="105" t="s">
        <v>438</v>
      </c>
    </row>
    <row r="59" spans="2:6" ht="12.75">
      <c r="B59" s="78" t="s">
        <v>386</v>
      </c>
      <c r="C59" s="84" t="s">
        <v>398</v>
      </c>
      <c r="D59" s="84" t="s">
        <v>399</v>
      </c>
      <c r="E59" s="84" t="s">
        <v>381</v>
      </c>
      <c r="F59" s="80" t="s">
        <v>330</v>
      </c>
    </row>
    <row r="60" spans="2:6" ht="12.75">
      <c r="B60" s="81" t="s">
        <v>439</v>
      </c>
      <c r="C60" s="71"/>
      <c r="D60" s="71"/>
      <c r="E60" s="85">
        <f>Tbl_Admin[[#This Row],[12 Month Total]]+Tbl_Admin[[#This Row],[Adjustments]]</f>
        <v>0</v>
      </c>
      <c r="F60" s="83"/>
    </row>
    <row r="61" spans="2:6" ht="12.75">
      <c r="B61" s="81" t="s">
        <v>440</v>
      </c>
      <c r="C61" s="71"/>
      <c r="D61" s="71"/>
      <c r="E61" s="85">
        <f>Tbl_Admin[[#This Row],[12 Month Total]]+Tbl_Admin[[#This Row],[Adjustments]]</f>
        <v>0</v>
      </c>
      <c r="F61" s="83"/>
    </row>
    <row r="62" spans="2:6" ht="12.75">
      <c r="B62" s="81" t="s">
        <v>441</v>
      </c>
      <c r="C62" s="71"/>
      <c r="D62" s="71"/>
      <c r="E62" s="85">
        <f>Tbl_Admin[[#This Row],[12 Month Total]]+Tbl_Admin[[#This Row],[Adjustments]]</f>
        <v>0</v>
      </c>
      <c r="F62" s="83"/>
    </row>
    <row r="63" spans="2:6" ht="12.75">
      <c r="B63" s="81" t="s">
        <v>442</v>
      </c>
      <c r="C63" s="71"/>
      <c r="D63" s="71"/>
      <c r="E63" s="85">
        <f>Tbl_Admin[[#This Row],[12 Month Total]]+Tbl_Admin[[#This Row],[Adjustments]]</f>
        <v>0</v>
      </c>
      <c r="F63" s="83"/>
    </row>
    <row r="64" spans="2:6" ht="12.75">
      <c r="B64" s="81" t="s">
        <v>443</v>
      </c>
      <c r="C64" s="71"/>
      <c r="D64" s="71"/>
      <c r="E64" s="85">
        <f>Tbl_Admin[[#This Row],[12 Month Total]]+Tbl_Admin[[#This Row],[Adjustments]]</f>
        <v>0</v>
      </c>
      <c r="F64" s="83"/>
    </row>
    <row r="65" spans="2:6" ht="12.75">
      <c r="B65" s="81" t="s">
        <v>444</v>
      </c>
      <c r="C65" s="71"/>
      <c r="D65" s="71"/>
      <c r="E65" s="85">
        <f>Tbl_Admin[[#This Row],[12 Month Total]]+Tbl_Admin[[#This Row],[Adjustments]]</f>
        <v>0</v>
      </c>
      <c r="F65" s="83"/>
    </row>
    <row r="66" spans="2:6" ht="12.75">
      <c r="B66" s="81" t="s">
        <v>445</v>
      </c>
      <c r="C66" s="71"/>
      <c r="D66" s="71"/>
      <c r="E66" s="85">
        <f>Tbl_Admin[[#This Row],[12 Month Total]]+Tbl_Admin[[#This Row],[Adjustments]]</f>
        <v>0</v>
      </c>
      <c r="F66" s="83"/>
    </row>
    <row r="67" spans="2:6" ht="12.75">
      <c r="B67" s="81" t="s">
        <v>446</v>
      </c>
      <c r="C67" s="71"/>
      <c r="D67" s="71"/>
      <c r="E67" s="85">
        <f>Tbl_Admin[[#This Row],[12 Month Total]]+Tbl_Admin[[#This Row],[Adjustments]]</f>
        <v>0</v>
      </c>
      <c r="F67" s="83"/>
    </row>
    <row r="68" spans="2:6" ht="12.75">
      <c r="B68" s="81" t="s">
        <v>447</v>
      </c>
      <c r="C68" s="71"/>
      <c r="D68" s="71"/>
      <c r="E68" s="85">
        <f>Tbl_Admin[[#This Row],[12 Month Total]]+Tbl_Admin[[#This Row],[Adjustments]]</f>
        <v>0</v>
      </c>
      <c r="F68" s="83"/>
    </row>
    <row r="69" spans="2:6" ht="12.75">
      <c r="B69" s="81" t="s">
        <v>448</v>
      </c>
      <c r="C69" s="71"/>
      <c r="D69" s="71"/>
      <c r="E69" s="85">
        <f>Tbl_Admin[[#This Row],[12 Month Total]]+Tbl_Admin[[#This Row],[Adjustments]]</f>
        <v>0</v>
      </c>
      <c r="F69" s="83"/>
    </row>
    <row r="70" spans="2:6" ht="12.75">
      <c r="B70" s="81" t="s">
        <v>449</v>
      </c>
      <c r="C70" s="71"/>
      <c r="D70" s="71"/>
      <c r="E70" s="85">
        <f>Tbl_Admin[[#This Row],[12 Month Total]]+Tbl_Admin[[#This Row],[Adjustments]]</f>
        <v>0</v>
      </c>
      <c r="F70" s="83"/>
    </row>
    <row r="71" spans="2:6" ht="12.75">
      <c r="B71" s="81" t="s">
        <v>450</v>
      </c>
      <c r="C71" s="71"/>
      <c r="D71" s="71"/>
      <c r="E71" s="85">
        <f>Tbl_Admin[[#This Row],[12 Month Total]]+Tbl_Admin[[#This Row],[Adjustments]]</f>
        <v>0</v>
      </c>
      <c r="F71" s="83"/>
    </row>
    <row r="72" spans="2:6" ht="12.75">
      <c r="B72" s="81" t="s">
        <v>451</v>
      </c>
      <c r="C72" s="71"/>
      <c r="D72" s="71"/>
      <c r="E72" s="85">
        <f>Tbl_Admin[[#This Row],[12 Month Total]]+Tbl_Admin[[#This Row],[Adjustments]]</f>
        <v>0</v>
      </c>
      <c r="F72" s="83"/>
    </row>
    <row r="73" spans="2:6" ht="12.75">
      <c r="B73" s="81" t="s">
        <v>452</v>
      </c>
      <c r="C73" s="71"/>
      <c r="D73" s="71"/>
      <c r="E73" s="85">
        <f>Tbl_Admin[[#This Row],[12 Month Total]]+Tbl_Admin[[#This Row],[Adjustments]]</f>
        <v>0</v>
      </c>
      <c r="F73" s="83"/>
    </row>
    <row r="74" spans="2:6" ht="12.75">
      <c r="B74" s="81" t="s">
        <v>453</v>
      </c>
      <c r="C74" s="71"/>
      <c r="D74" s="71"/>
      <c r="E74" s="85">
        <f>Tbl_Admin[[#This Row],[12 Month Total]]+Tbl_Admin[[#This Row],[Adjustments]]</f>
        <v>0</v>
      </c>
      <c r="F74" s="83"/>
    </row>
    <row r="75" spans="2:6" ht="12.75">
      <c r="B75" s="81" t="s">
        <v>454</v>
      </c>
      <c r="C75" s="71"/>
      <c r="D75" s="71"/>
      <c r="E75" s="85">
        <f>Tbl_Admin[[#This Row],[12 Month Total]]+Tbl_Admin[[#This Row],[Adjustments]]</f>
        <v>0</v>
      </c>
      <c r="F75" s="83"/>
    </row>
    <row r="76" spans="2:6" ht="12.75">
      <c r="B76" s="81" t="s">
        <v>455</v>
      </c>
      <c r="C76" s="71"/>
      <c r="D76" s="71"/>
      <c r="E76" s="85">
        <f>Tbl_Admin[[#This Row],[12 Month Total]]+Tbl_Admin[[#This Row],[Adjustments]]</f>
        <v>0</v>
      </c>
      <c r="F76" s="83"/>
    </row>
    <row r="77" spans="2:6" ht="12.75">
      <c r="B77" s="81" t="s">
        <v>456</v>
      </c>
      <c r="C77" s="71"/>
      <c r="D77" s="71"/>
      <c r="E77" s="85">
        <f>Tbl_Admin[[#This Row],[12 Month Total]]+Tbl_Admin[[#This Row],[Adjustments]]</f>
        <v>0</v>
      </c>
      <c r="F77" s="83"/>
    </row>
    <row r="78" spans="2:6" ht="12.75">
      <c r="B78" s="81" t="s">
        <v>457</v>
      </c>
      <c r="C78" s="71"/>
      <c r="D78" s="71"/>
      <c r="E78" s="85">
        <f>Tbl_Admin[[#This Row],[12 Month Total]]+Tbl_Admin[[#This Row],[Adjustments]]</f>
        <v>0</v>
      </c>
      <c r="F78" s="83"/>
    </row>
    <row r="79" spans="2:6" ht="12.75">
      <c r="B79" s="81" t="s">
        <v>458</v>
      </c>
      <c r="C79" s="71"/>
      <c r="D79" s="71"/>
      <c r="E79" s="85">
        <f>Tbl_Admin[[#This Row],[12 Month Total]]+Tbl_Admin[[#This Row],[Adjustments]]</f>
        <v>0</v>
      </c>
      <c r="F79" s="83"/>
    </row>
    <row r="80" spans="2:6" ht="13.5" thickBot="1">
      <c r="B80" s="81" t="s">
        <v>459</v>
      </c>
      <c r="C80" s="71"/>
      <c r="D80" s="71"/>
      <c r="E80" s="85">
        <f>Tbl_Admin[[#This Row],[12 Month Total]]+Tbl_Admin[[#This Row],[Adjustments]]</f>
        <v>0</v>
      </c>
      <c r="F80" s="83"/>
    </row>
    <row r="81" spans="2:6" ht="13.5" thickTop="1">
      <c r="B81" s="67" t="s">
        <v>159</v>
      </c>
      <c r="C81" s="69">
        <f>SUBTOTAL(109,Tbl_Admin[12 Month Total])</f>
        <v>0</v>
      </c>
      <c r="D81" s="69">
        <f>SUBTOTAL(109,Tbl_Admin[Adjustments])</f>
        <v>0</v>
      </c>
      <c r="E81" s="69">
        <f>SUBTOTAL(109,Tbl_Admin[Normalised])</f>
        <v>0</v>
      </c>
      <c r="F81" s="68"/>
    </row>
    <row r="82" spans="2:6">
      <c r="B82" s="6" t="s">
        <v>350</v>
      </c>
    </row>
  </sheetData>
  <sheetProtection insertRows="0" deleteRows="0"/>
  <pageMargins left="0.7" right="0.7" top="0.75" bottom="0.75" header="0.3" footer="0.3"/>
  <pageSetup paperSize="9" orientation="portrait" verticalDpi="0" r:id="rId1"/>
  <tableParts count="5">
    <tablePart r:id="rId2"/>
    <tablePart r:id="rId3"/>
    <tablePart r:id="rId4"/>
    <tablePart r:id="rId5"/>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rgb="FFFFCD99"/>
  </sheetPr>
  <dimension ref="B1:M39"/>
  <sheetViews>
    <sheetView showGridLines="0" zoomScaleNormal="100" workbookViewId="0">
      <selection activeCell="I25" sqref="I25"/>
    </sheetView>
  </sheetViews>
  <sheetFormatPr defaultRowHeight="11.25"/>
  <cols>
    <col min="1" max="1" width="4.6640625" customWidth="1"/>
    <col min="2" max="2" width="33.5" customWidth="1"/>
    <col min="3" max="3" width="19.33203125" customWidth="1"/>
    <col min="4" max="6" width="18.83203125" customWidth="1"/>
    <col min="7" max="7" width="25.1640625" customWidth="1"/>
    <col min="8" max="10" width="18.83203125" customWidth="1"/>
    <col min="11" max="11" width="9.6640625" customWidth="1"/>
    <col min="12" max="12" width="46.33203125" customWidth="1"/>
    <col min="13" max="13" width="4.6640625" customWidth="1"/>
  </cols>
  <sheetData>
    <row r="1" spans="2:13" ht="16.5" thickBot="1">
      <c r="B1" s="364" t="e">
        <f ca="1">RIGHT(CELL("filename",B1),LEN(CELL("filename",B1))-FIND("]",CELL("filename",B1)))</f>
        <v>#VALUE!</v>
      </c>
      <c r="C1" s="4"/>
      <c r="D1" s="4"/>
      <c r="E1" s="4"/>
      <c r="F1" s="4"/>
      <c r="G1" s="4"/>
      <c r="H1" s="4"/>
      <c r="I1" s="4"/>
      <c r="J1" s="4"/>
      <c r="K1" s="4"/>
      <c r="L1" s="4"/>
      <c r="M1" s="4"/>
    </row>
    <row r="2" spans="2:13" ht="12" thickTop="1"/>
    <row r="3" spans="2:13" ht="12.75">
      <c r="B3" s="264" t="s">
        <v>460</v>
      </c>
      <c r="C3" s="255"/>
      <c r="D3" s="255"/>
      <c r="E3" s="255"/>
      <c r="F3" s="255"/>
      <c r="G3" s="255"/>
      <c r="H3" s="255"/>
      <c r="I3" s="255"/>
      <c r="J3" s="255"/>
      <c r="K3" s="255"/>
    </row>
    <row r="4" spans="2:13">
      <c r="B4" s="255"/>
      <c r="C4" s="255"/>
      <c r="D4" s="255"/>
      <c r="E4" s="255"/>
      <c r="F4" s="255"/>
      <c r="G4" s="255"/>
      <c r="H4" s="255"/>
      <c r="I4" s="255"/>
      <c r="J4" s="255"/>
      <c r="K4" s="255"/>
    </row>
    <row r="5" spans="2:13" ht="12.75">
      <c r="B5" s="264" t="s">
        <v>461</v>
      </c>
      <c r="C5" s="255"/>
      <c r="D5" s="255"/>
      <c r="E5" s="255"/>
      <c r="F5" s="255"/>
      <c r="G5" s="255"/>
      <c r="H5" s="255"/>
      <c r="I5" s="255"/>
      <c r="J5" s="255"/>
      <c r="K5" s="255"/>
    </row>
    <row r="6" spans="2:13" ht="12.75">
      <c r="B6" s="264" t="s">
        <v>462</v>
      </c>
      <c r="C6" s="255"/>
      <c r="D6" s="255"/>
      <c r="E6" s="255"/>
      <c r="F6" s="255"/>
      <c r="G6" s="255"/>
      <c r="H6" s="255"/>
      <c r="I6" s="255"/>
      <c r="J6" s="255"/>
      <c r="K6" s="255"/>
    </row>
    <row r="7" spans="2:13" ht="12.75">
      <c r="B7" s="264" t="s">
        <v>405</v>
      </c>
      <c r="C7" s="255"/>
      <c r="D7" s="255"/>
      <c r="E7" s="255"/>
      <c r="F7" s="255"/>
      <c r="G7" s="255"/>
      <c r="H7" s="255"/>
      <c r="I7" s="255"/>
      <c r="J7" s="255"/>
      <c r="K7" s="255"/>
    </row>
    <row r="9" spans="2:13" ht="12.75">
      <c r="B9" s="105" t="s">
        <v>463</v>
      </c>
    </row>
    <row r="10" spans="2:13" ht="12.75">
      <c r="B10" s="94" t="s">
        <v>464</v>
      </c>
      <c r="C10" s="76" t="s">
        <v>398</v>
      </c>
      <c r="D10" s="76" t="s">
        <v>399</v>
      </c>
      <c r="E10" s="76" t="s">
        <v>381</v>
      </c>
      <c r="F10" s="76" t="s">
        <v>382</v>
      </c>
      <c r="G10" s="76" t="s">
        <v>383</v>
      </c>
      <c r="H10" s="76" t="s">
        <v>384</v>
      </c>
      <c r="I10" s="76" t="s">
        <v>304</v>
      </c>
      <c r="J10" s="76" t="s">
        <v>29</v>
      </c>
      <c r="K10" s="76" t="s">
        <v>465</v>
      </c>
      <c r="L10" s="77" t="s">
        <v>330</v>
      </c>
    </row>
    <row r="11" spans="2:13" ht="12.75">
      <c r="B11" s="63" t="s">
        <v>466</v>
      </c>
      <c r="C11" s="71"/>
      <c r="D11" s="71"/>
      <c r="E11" s="72">
        <f>TBL_PassThroughCosts[[#This Row],[12 Month Total]]+TBL_PassThroughCosts[[#This Row],[Adjustments]]</f>
        <v>0</v>
      </c>
      <c r="F11" s="71"/>
      <c r="G11" s="71"/>
      <c r="H11" s="71"/>
      <c r="I11" s="71"/>
      <c r="J11" s="71"/>
      <c r="K11" s="73">
        <f>TBL_PassThroughCosts[[#This Row],[Normalised]]-SUM(TBL_PassThroughCosts[[#This Row],[Interments]:[Administration]])</f>
        <v>0</v>
      </c>
      <c r="L11" s="97"/>
    </row>
    <row r="12" spans="2:13" ht="12.75">
      <c r="B12" s="63" t="s">
        <v>467</v>
      </c>
      <c r="C12" s="71"/>
      <c r="D12" s="71"/>
      <c r="E12" s="72">
        <f>TBL_PassThroughCosts[[#This Row],[12 Month Total]]+TBL_PassThroughCosts[[#This Row],[Adjustments]]</f>
        <v>0</v>
      </c>
      <c r="F12" s="71"/>
      <c r="G12" s="71"/>
      <c r="H12" s="71"/>
      <c r="I12" s="71"/>
      <c r="J12" s="71"/>
      <c r="K12" s="73">
        <f>TBL_PassThroughCosts[[#This Row],[Normalised]]-SUM(TBL_PassThroughCosts[[#This Row],[Interments]:[Administration]])</f>
        <v>0</v>
      </c>
      <c r="L12" s="97"/>
    </row>
    <row r="13" spans="2:13" ht="12.75">
      <c r="B13" s="63" t="s">
        <v>468</v>
      </c>
      <c r="C13" s="71"/>
      <c r="D13" s="71"/>
      <c r="E13" s="72">
        <f>TBL_PassThroughCosts[[#This Row],[12 Month Total]]+TBL_PassThroughCosts[[#This Row],[Adjustments]]</f>
        <v>0</v>
      </c>
      <c r="F13" s="71"/>
      <c r="G13" s="71"/>
      <c r="H13" s="71"/>
      <c r="I13" s="71"/>
      <c r="J13" s="71"/>
      <c r="K13" s="73">
        <f>TBL_PassThroughCosts[[#This Row],[Normalised]]-SUM(TBL_PassThroughCosts[[#This Row],[Interments]:[Administration]])</f>
        <v>0</v>
      </c>
      <c r="L13" s="97"/>
    </row>
    <row r="14" spans="2:13" ht="12.75">
      <c r="B14" s="63" t="s">
        <v>469</v>
      </c>
      <c r="C14" s="71"/>
      <c r="D14" s="71"/>
      <c r="E14" s="72">
        <f>TBL_PassThroughCosts[[#This Row],[12 Month Total]]+TBL_PassThroughCosts[[#This Row],[Adjustments]]</f>
        <v>0</v>
      </c>
      <c r="F14" s="71"/>
      <c r="G14" s="71"/>
      <c r="H14" s="71"/>
      <c r="I14" s="71"/>
      <c r="J14" s="71"/>
      <c r="K14" s="73">
        <f>TBL_PassThroughCosts[[#This Row],[Normalised]]-SUM(TBL_PassThroughCosts[[#This Row],[Interments]:[Administration]])</f>
        <v>0</v>
      </c>
      <c r="L14" s="97"/>
    </row>
    <row r="15" spans="2:13" ht="12.75">
      <c r="B15" s="63"/>
      <c r="C15" s="71"/>
      <c r="D15" s="71"/>
      <c r="E15" s="72">
        <f>TBL_PassThroughCosts[[#This Row],[12 Month Total]]+TBL_PassThroughCosts[[#This Row],[Adjustments]]</f>
        <v>0</v>
      </c>
      <c r="F15" s="71"/>
      <c r="G15" s="71"/>
      <c r="H15" s="71"/>
      <c r="I15" s="71"/>
      <c r="J15" s="71"/>
      <c r="K15" s="73">
        <f>TBL_PassThroughCosts[[#This Row],[Normalised]]-SUM(TBL_PassThroughCosts[[#This Row],[Interments]:[Administration]])</f>
        <v>0</v>
      </c>
      <c r="L15" s="97"/>
    </row>
    <row r="16" spans="2:13" ht="12.75">
      <c r="B16" s="63"/>
      <c r="C16" s="71"/>
      <c r="D16" s="71"/>
      <c r="E16" s="72">
        <f>TBL_PassThroughCosts[[#This Row],[12 Month Total]]+TBL_PassThroughCosts[[#This Row],[Adjustments]]</f>
        <v>0</v>
      </c>
      <c r="F16" s="71"/>
      <c r="G16" s="71"/>
      <c r="H16" s="71"/>
      <c r="I16" s="71"/>
      <c r="J16" s="71"/>
      <c r="K16" s="73">
        <f>TBL_PassThroughCosts[[#This Row],[Normalised]]-SUM(TBL_PassThroughCosts[[#This Row],[Interments]:[Administration]])</f>
        <v>0</v>
      </c>
      <c r="L16" s="97"/>
    </row>
    <row r="17" spans="2:12" ht="12.75">
      <c r="B17" s="63"/>
      <c r="C17" s="71"/>
      <c r="D17" s="71"/>
      <c r="E17" s="72">
        <f>TBL_PassThroughCosts[[#This Row],[12 Month Total]]+TBL_PassThroughCosts[[#This Row],[Adjustments]]</f>
        <v>0</v>
      </c>
      <c r="F17" s="71"/>
      <c r="G17" s="71"/>
      <c r="H17" s="71"/>
      <c r="I17" s="71"/>
      <c r="J17" s="71"/>
      <c r="K17" s="73">
        <f>TBL_PassThroughCosts[[#This Row],[Normalised]]-SUM(TBL_PassThroughCosts[[#This Row],[Interments]:[Administration]])</f>
        <v>0</v>
      </c>
      <c r="L17" s="97"/>
    </row>
    <row r="18" spans="2:12" ht="12.75">
      <c r="B18" s="63"/>
      <c r="C18" s="71"/>
      <c r="D18" s="71"/>
      <c r="E18" s="72">
        <f>TBL_PassThroughCosts[[#This Row],[12 Month Total]]+TBL_PassThroughCosts[[#This Row],[Adjustments]]</f>
        <v>0</v>
      </c>
      <c r="F18" s="71"/>
      <c r="G18" s="71"/>
      <c r="H18" s="71"/>
      <c r="I18" s="71"/>
      <c r="J18" s="71"/>
      <c r="K18" s="73">
        <f>TBL_PassThroughCosts[[#This Row],[Normalised]]-SUM(TBL_PassThroughCosts[[#This Row],[Interments]:[Administration]])</f>
        <v>0</v>
      </c>
      <c r="L18" s="97"/>
    </row>
    <row r="19" spans="2:12" ht="13.5" thickBot="1">
      <c r="B19" s="345" t="s">
        <v>159</v>
      </c>
      <c r="C19" s="346">
        <f>SUBTOTAL(109,TBL_PassThroughCosts[12 Month Total])</f>
        <v>0</v>
      </c>
      <c r="D19" s="346">
        <f>SUBTOTAL(109,TBL_PassThroughCosts[Adjustments])</f>
        <v>0</v>
      </c>
      <c r="E19" s="347"/>
      <c r="F19" s="346">
        <f>SUBTOTAL(109,TBL_PassThroughCosts[Interments])</f>
        <v>0</v>
      </c>
      <c r="G19" s="346">
        <f>SUBTOTAL(109,TBL_PassThroughCosts[Ground Maintenance])</f>
        <v>0</v>
      </c>
      <c r="H19" s="346">
        <f>SUBTOTAL(109,TBL_PassThroughCosts[Cremations])</f>
        <v>0</v>
      </c>
      <c r="I19" s="346">
        <f>SUBTOTAL(109,TBL_PassThroughCosts[Other Services])</f>
        <v>0</v>
      </c>
      <c r="J19" s="346">
        <f>SUBTOTAL(109,TBL_PassThroughCosts[Administration])</f>
        <v>0</v>
      </c>
      <c r="K19" s="347"/>
      <c r="L19" s="348">
        <f>SUBTOTAL(103,TBL_PassThroughCosts[Notes])</f>
        <v>0</v>
      </c>
    </row>
    <row r="20" spans="2:12" ht="12" thickTop="1">
      <c r="B20" s="6" t="s">
        <v>350</v>
      </c>
    </row>
    <row r="23" spans="2:12" ht="12.75">
      <c r="B23" s="105" t="s">
        <v>470</v>
      </c>
    </row>
    <row r="24" spans="2:12" ht="12.75">
      <c r="B24" s="94" t="s">
        <v>471</v>
      </c>
      <c r="C24" s="76" t="s">
        <v>398</v>
      </c>
      <c r="D24" s="76" t="s">
        <v>399</v>
      </c>
      <c r="E24" s="76" t="s">
        <v>381</v>
      </c>
      <c r="F24" s="76" t="s">
        <v>382</v>
      </c>
      <c r="G24" s="76" t="s">
        <v>383</v>
      </c>
      <c r="H24" s="76" t="s">
        <v>384</v>
      </c>
      <c r="I24" s="76" t="s">
        <v>304</v>
      </c>
      <c r="J24" s="76" t="s">
        <v>29</v>
      </c>
      <c r="K24" s="76" t="s">
        <v>465</v>
      </c>
      <c r="L24" s="77" t="s">
        <v>330</v>
      </c>
    </row>
    <row r="25" spans="2:12" ht="12.75">
      <c r="B25" s="63" t="s">
        <v>472</v>
      </c>
      <c r="C25" s="71"/>
      <c r="D25" s="71"/>
      <c r="E25" s="72">
        <f>Tbl_Other_OPEX[[#This Row],[12 Month Total]]+Tbl_Other_OPEX[[#This Row],[Adjustments]]</f>
        <v>0</v>
      </c>
      <c r="F25" s="71"/>
      <c r="G25" s="71"/>
      <c r="H25" s="71"/>
      <c r="I25" s="71"/>
      <c r="J25" s="71"/>
      <c r="K25" s="73">
        <f>Tbl_Other_OPEX[[#This Row],[Normalised]]-SUM(Tbl_Other_OPEX[[#This Row],[Interments]:[Administration]])</f>
        <v>0</v>
      </c>
      <c r="L25" s="97"/>
    </row>
    <row r="26" spans="2:12" ht="12.75">
      <c r="B26" s="63" t="s">
        <v>473</v>
      </c>
      <c r="C26" s="71"/>
      <c r="D26" s="71"/>
      <c r="E26" s="72">
        <f>Tbl_Other_OPEX[[#This Row],[12 Month Total]]+Tbl_Other_OPEX[[#This Row],[Adjustments]]</f>
        <v>0</v>
      </c>
      <c r="F26" s="71"/>
      <c r="G26" s="71"/>
      <c r="H26" s="71"/>
      <c r="I26" s="71"/>
      <c r="J26" s="71"/>
      <c r="K26" s="73">
        <f>Tbl_Other_OPEX[[#This Row],[Normalised]]-SUM(Tbl_Other_OPEX[[#This Row],[Interments]:[Administration]])</f>
        <v>0</v>
      </c>
      <c r="L26" s="97"/>
    </row>
    <row r="27" spans="2:12" ht="12.75">
      <c r="B27" s="63" t="s">
        <v>474</v>
      </c>
      <c r="C27" s="71"/>
      <c r="D27" s="71"/>
      <c r="E27" s="72">
        <f>Tbl_Other_OPEX[[#This Row],[12 Month Total]]+Tbl_Other_OPEX[[#This Row],[Adjustments]]</f>
        <v>0</v>
      </c>
      <c r="F27" s="71"/>
      <c r="G27" s="71"/>
      <c r="H27" s="71"/>
      <c r="I27" s="71"/>
      <c r="J27" s="71"/>
      <c r="K27" s="73">
        <f>Tbl_Other_OPEX[[#This Row],[Normalised]]-SUM(Tbl_Other_OPEX[[#This Row],[Interments]:[Administration]])</f>
        <v>0</v>
      </c>
      <c r="L27" s="97" t="s">
        <v>475</v>
      </c>
    </row>
    <row r="28" spans="2:12" ht="12.75">
      <c r="B28" s="63" t="s">
        <v>476</v>
      </c>
      <c r="C28" s="71"/>
      <c r="D28" s="71"/>
      <c r="E28" s="72">
        <f>Tbl_Other_OPEX[[#This Row],[12 Month Total]]+Tbl_Other_OPEX[[#This Row],[Adjustments]]</f>
        <v>0</v>
      </c>
      <c r="F28" s="71"/>
      <c r="G28" s="71"/>
      <c r="H28" s="71"/>
      <c r="I28" s="71"/>
      <c r="J28" s="71"/>
      <c r="K28" s="73">
        <f>Tbl_Other_OPEX[[#This Row],[Normalised]]-SUM(Tbl_Other_OPEX[[#This Row],[Interments]:[Administration]])</f>
        <v>0</v>
      </c>
      <c r="L28" s="97"/>
    </row>
    <row r="29" spans="2:12" ht="12.75">
      <c r="B29" s="63" t="s">
        <v>477</v>
      </c>
      <c r="C29" s="71"/>
      <c r="D29" s="71"/>
      <c r="E29" s="72">
        <f>Tbl_Other_OPEX[[#This Row],[12 Month Total]]+Tbl_Other_OPEX[[#This Row],[Adjustments]]</f>
        <v>0</v>
      </c>
      <c r="F29" s="71"/>
      <c r="G29" s="71"/>
      <c r="H29" s="71"/>
      <c r="I29" s="71"/>
      <c r="J29" s="71"/>
      <c r="K29" s="73">
        <f>Tbl_Other_OPEX[[#This Row],[Normalised]]-SUM(Tbl_Other_OPEX[[#This Row],[Interments]:[Administration]])</f>
        <v>0</v>
      </c>
      <c r="L29" s="97"/>
    </row>
    <row r="30" spans="2:12" ht="12.75">
      <c r="B30" s="63" t="s">
        <v>478</v>
      </c>
      <c r="C30" s="71"/>
      <c r="D30" s="71"/>
      <c r="E30" s="72">
        <f>Tbl_Other_OPEX[[#This Row],[12 Month Total]]+Tbl_Other_OPEX[[#This Row],[Adjustments]]</f>
        <v>0</v>
      </c>
      <c r="F30" s="71"/>
      <c r="G30" s="71"/>
      <c r="H30" s="71"/>
      <c r="I30" s="71"/>
      <c r="J30" s="71"/>
      <c r="K30" s="73">
        <f>Tbl_Other_OPEX[[#This Row],[Normalised]]-SUM(Tbl_Other_OPEX[[#This Row],[Interments]:[Administration]])</f>
        <v>0</v>
      </c>
      <c r="L30" s="97" t="s">
        <v>479</v>
      </c>
    </row>
    <row r="31" spans="2:12" ht="12.75">
      <c r="B31" s="63" t="s">
        <v>480</v>
      </c>
      <c r="C31" s="71"/>
      <c r="D31" s="71"/>
      <c r="E31" s="72">
        <f>Tbl_Other_OPEX[[#This Row],[12 Month Total]]+Tbl_Other_OPEX[[#This Row],[Adjustments]]</f>
        <v>0</v>
      </c>
      <c r="F31" s="71"/>
      <c r="G31" s="71"/>
      <c r="H31" s="71"/>
      <c r="I31" s="71"/>
      <c r="J31" s="71"/>
      <c r="K31" s="73">
        <f>Tbl_Other_OPEX[[#This Row],[Normalised]]-SUM(Tbl_Other_OPEX[[#This Row],[Interments]:[Administration]])</f>
        <v>0</v>
      </c>
      <c r="L31" s="97"/>
    </row>
    <row r="32" spans="2:12" ht="12.75">
      <c r="B32" s="63" t="s">
        <v>481</v>
      </c>
      <c r="C32" s="71"/>
      <c r="D32" s="71"/>
      <c r="E32" s="72">
        <f>Tbl_Other_OPEX[[#This Row],[12 Month Total]]+Tbl_Other_OPEX[[#This Row],[Adjustments]]</f>
        <v>0</v>
      </c>
      <c r="F32" s="71"/>
      <c r="G32" s="71"/>
      <c r="H32" s="71"/>
      <c r="I32" s="71"/>
      <c r="J32" s="71"/>
      <c r="K32" s="73">
        <f>Tbl_Other_OPEX[[#This Row],[Normalised]]-SUM(Tbl_Other_OPEX[[#This Row],[Interments]:[Administration]])</f>
        <v>0</v>
      </c>
      <c r="L32" s="97"/>
    </row>
    <row r="33" spans="2:12" ht="12.75">
      <c r="B33" s="63" t="s">
        <v>482</v>
      </c>
      <c r="C33" s="71"/>
      <c r="D33" s="71"/>
      <c r="E33" s="72">
        <f>Tbl_Other_OPEX[[#This Row],[12 Month Total]]+Tbl_Other_OPEX[[#This Row],[Adjustments]]</f>
        <v>0</v>
      </c>
      <c r="F33" s="71"/>
      <c r="G33" s="71"/>
      <c r="H33" s="71"/>
      <c r="I33" s="71"/>
      <c r="J33" s="71"/>
      <c r="K33" s="73">
        <f>Tbl_Other_OPEX[[#This Row],[Normalised]]-SUM(Tbl_Other_OPEX[[#This Row],[Interments]:[Administration]])</f>
        <v>0</v>
      </c>
      <c r="L33" s="97"/>
    </row>
    <row r="34" spans="2:12" ht="12.75">
      <c r="B34" s="63"/>
      <c r="C34" s="64"/>
      <c r="D34" s="64"/>
      <c r="E34" s="74">
        <f>Tbl_Other_OPEX[[#This Row],[12 Month Total]]+Tbl_Other_OPEX[[#This Row],[Adjustments]]</f>
        <v>0</v>
      </c>
      <c r="F34" s="64"/>
      <c r="G34" s="64"/>
      <c r="H34" s="64"/>
      <c r="I34" s="64"/>
      <c r="J34" s="64"/>
      <c r="K34" s="73">
        <f>Tbl_Other_OPEX[[#This Row],[Normalised]]-SUM(Tbl_Other_OPEX[[#This Row],[Interments]:[Administration]])</f>
        <v>0</v>
      </c>
      <c r="L34" s="98"/>
    </row>
    <row r="35" spans="2:12" ht="12.75">
      <c r="B35" s="63"/>
      <c r="C35" s="64"/>
      <c r="D35" s="64"/>
      <c r="E35" s="74">
        <f>Tbl_Other_OPEX[[#This Row],[12 Month Total]]+Tbl_Other_OPEX[[#This Row],[Adjustments]]</f>
        <v>0</v>
      </c>
      <c r="F35" s="64"/>
      <c r="G35" s="64"/>
      <c r="H35" s="64"/>
      <c r="I35" s="64"/>
      <c r="J35" s="64"/>
      <c r="K35" s="73">
        <f>Tbl_Other_OPEX[[#This Row],[Normalised]]-SUM(Tbl_Other_OPEX[[#This Row],[Interments]:[Administration]])</f>
        <v>0</v>
      </c>
      <c r="L35" s="98"/>
    </row>
    <row r="36" spans="2:12" ht="12.75">
      <c r="B36" s="63"/>
      <c r="C36" s="64"/>
      <c r="D36" s="64"/>
      <c r="E36" s="74">
        <f>Tbl_Other_OPEX[[#This Row],[12 Month Total]]+Tbl_Other_OPEX[[#This Row],[Adjustments]]</f>
        <v>0</v>
      </c>
      <c r="F36" s="64"/>
      <c r="G36" s="64"/>
      <c r="H36" s="64"/>
      <c r="I36" s="64"/>
      <c r="J36" s="64"/>
      <c r="K36" s="73">
        <f>Tbl_Other_OPEX[[#This Row],[Normalised]]-SUM(Tbl_Other_OPEX[[#This Row],[Interments]:[Administration]])</f>
        <v>0</v>
      </c>
      <c r="L36" s="98"/>
    </row>
    <row r="37" spans="2:12" ht="13.5" thickBot="1">
      <c r="B37" s="63"/>
      <c r="C37" s="64"/>
      <c r="D37" s="64"/>
      <c r="E37" s="74">
        <f>Tbl_Other_OPEX[[#This Row],[12 Month Total]]+Tbl_Other_OPEX[[#This Row],[Adjustments]]</f>
        <v>0</v>
      </c>
      <c r="F37" s="64"/>
      <c r="G37" s="64"/>
      <c r="H37" s="64"/>
      <c r="I37" s="64"/>
      <c r="J37" s="64"/>
      <c r="K37" s="73">
        <f>Tbl_Other_OPEX[[#This Row],[Normalised]]-SUM(Tbl_Other_OPEX[[#This Row],[Interments]:[Administration]])</f>
        <v>0</v>
      </c>
      <c r="L37" s="98"/>
    </row>
    <row r="38" spans="2:12" ht="13.5" thickTop="1">
      <c r="B38" s="67" t="s">
        <v>159</v>
      </c>
      <c r="C38" s="69">
        <f>SUBTOTAL(109,Tbl_Other_OPEX[12 Month Total])</f>
        <v>0</v>
      </c>
      <c r="D38" s="69">
        <f>SUBTOTAL(109,Tbl_Other_OPEX[Adjustments])</f>
        <v>0</v>
      </c>
      <c r="E38" s="69">
        <f>SUBTOTAL(109,Tbl_Other_OPEX[Normalised])</f>
        <v>0</v>
      </c>
      <c r="F38" s="69">
        <f>SUBTOTAL(109,Tbl_Other_OPEX[Interments])</f>
        <v>0</v>
      </c>
      <c r="G38" s="69">
        <f>SUBTOTAL(109,Tbl_Other_OPEX[Ground Maintenance])</f>
        <v>0</v>
      </c>
      <c r="H38" s="69">
        <f>SUBTOTAL(109,Tbl_Other_OPEX[Cremations])</f>
        <v>0</v>
      </c>
      <c r="I38" s="69">
        <f>SUBTOTAL(109,Tbl_Other_OPEX[Other Services])</f>
        <v>0</v>
      </c>
      <c r="J38" s="69">
        <f>SUBTOTAL(109,Tbl_Other_OPEX[Administration])</f>
        <v>0</v>
      </c>
      <c r="K38" s="75"/>
      <c r="L38" s="68"/>
    </row>
    <row r="39" spans="2:12">
      <c r="B39" s="6" t="s">
        <v>350</v>
      </c>
    </row>
  </sheetData>
  <pageMargins left="0.7" right="0.7" top="0.75" bottom="0.75" header="0.3" footer="0.3"/>
  <pageSetup paperSize="9" orientation="portrait" verticalDpi="0"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FFCD99"/>
  </sheetPr>
  <dimension ref="B1:M65"/>
  <sheetViews>
    <sheetView showGridLines="0" topLeftCell="A23" zoomScaleNormal="100" workbookViewId="0">
      <selection activeCell="K30" sqref="K30"/>
    </sheetView>
  </sheetViews>
  <sheetFormatPr defaultRowHeight="11.25"/>
  <cols>
    <col min="1" max="1" width="4.6640625" customWidth="1"/>
    <col min="2" max="2" width="30.83203125" customWidth="1"/>
    <col min="3" max="11" width="17.5" customWidth="1"/>
    <col min="12" max="12" width="9.6640625" bestFit="1" customWidth="1"/>
    <col min="13" max="13" width="4.6640625" customWidth="1"/>
  </cols>
  <sheetData>
    <row r="1" spans="2:13" ht="16.5" thickBot="1">
      <c r="B1" s="364" t="e">
        <f ca="1">RIGHT(CELL("filename",B1),LEN(CELL("filename",B1))-FIND("]",CELL("filename",B1)))</f>
        <v>#VALUE!</v>
      </c>
      <c r="C1" s="4"/>
      <c r="D1" s="4"/>
      <c r="E1" s="4"/>
      <c r="F1" s="4"/>
      <c r="G1" s="4"/>
      <c r="H1" s="4"/>
      <c r="I1" s="4"/>
      <c r="J1" s="4"/>
      <c r="K1" s="4"/>
      <c r="L1" s="4"/>
      <c r="M1" s="4"/>
    </row>
    <row r="2" spans="2:13" ht="12" thickTop="1"/>
    <row r="3" spans="2:13" ht="12.75">
      <c r="B3" s="264" t="s">
        <v>483</v>
      </c>
      <c r="C3" s="264"/>
      <c r="D3" s="264"/>
      <c r="E3" s="264"/>
      <c r="F3" s="264"/>
      <c r="G3" s="264"/>
      <c r="H3" s="264"/>
      <c r="I3" s="264"/>
      <c r="J3" s="264"/>
      <c r="K3" s="264"/>
      <c r="L3" s="264"/>
      <c r="M3" s="60"/>
    </row>
    <row r="4" spans="2:13" ht="4.1500000000000004" customHeight="1">
      <c r="B4" s="264"/>
      <c r="C4" s="264"/>
      <c r="D4" s="264"/>
      <c r="E4" s="264"/>
      <c r="F4" s="264"/>
      <c r="G4" s="264"/>
      <c r="H4" s="264"/>
      <c r="I4" s="264"/>
      <c r="J4" s="264"/>
      <c r="K4" s="264"/>
      <c r="L4" s="264"/>
      <c r="M4" s="60"/>
    </row>
    <row r="5" spans="2:13" ht="12.75">
      <c r="B5" s="343" t="s">
        <v>126</v>
      </c>
      <c r="C5" s="264"/>
      <c r="D5" s="264"/>
      <c r="E5" s="264"/>
      <c r="F5" s="264"/>
      <c r="G5" s="264"/>
      <c r="H5" s="264"/>
      <c r="I5" s="264"/>
      <c r="J5" s="264"/>
      <c r="K5" s="264"/>
      <c r="L5" s="264"/>
      <c r="M5" s="60"/>
    </row>
    <row r="6" spans="2:13" ht="12.75">
      <c r="B6" s="266" t="s">
        <v>484</v>
      </c>
      <c r="C6" s="264"/>
      <c r="D6" s="264"/>
      <c r="E6" s="264"/>
      <c r="F6" s="264"/>
      <c r="G6" s="264"/>
      <c r="H6" s="264"/>
      <c r="I6" s="264"/>
      <c r="J6" s="264"/>
      <c r="K6" s="264"/>
      <c r="L6" s="264"/>
      <c r="M6" s="60"/>
    </row>
    <row r="7" spans="2:13" ht="12.75">
      <c r="B7" s="266" t="s">
        <v>485</v>
      </c>
      <c r="C7" s="264"/>
      <c r="D7" s="264"/>
      <c r="E7" s="264"/>
      <c r="F7" s="264"/>
      <c r="G7" s="264"/>
      <c r="H7" s="264"/>
      <c r="I7" s="264"/>
      <c r="J7" s="264"/>
      <c r="K7" s="264"/>
      <c r="L7" s="264"/>
      <c r="M7" s="60"/>
    </row>
    <row r="8" spans="2:13" ht="12.75">
      <c r="B8" s="266" t="s">
        <v>486</v>
      </c>
      <c r="C8" s="264"/>
      <c r="D8" s="264"/>
      <c r="E8" s="264"/>
      <c r="F8" s="264"/>
      <c r="G8" s="264"/>
      <c r="H8" s="264"/>
      <c r="I8" s="264"/>
      <c r="J8" s="264"/>
      <c r="K8" s="264"/>
      <c r="L8" s="264"/>
      <c r="M8" s="60"/>
    </row>
    <row r="9" spans="2:13" ht="12.75">
      <c r="B9" s="266" t="s">
        <v>487</v>
      </c>
      <c r="C9" s="264"/>
      <c r="D9" s="264"/>
      <c r="E9" s="264"/>
      <c r="F9" s="264"/>
      <c r="G9" s="264"/>
      <c r="H9" s="264"/>
      <c r="I9" s="264"/>
      <c r="J9" s="264"/>
      <c r="K9" s="264"/>
      <c r="L9" s="264"/>
      <c r="M9" s="60"/>
    </row>
    <row r="10" spans="2:13" ht="12.75">
      <c r="B10" s="266" t="s">
        <v>488</v>
      </c>
      <c r="C10" s="264"/>
      <c r="D10" s="264"/>
      <c r="E10" s="264"/>
      <c r="F10" s="264"/>
      <c r="G10" s="264"/>
      <c r="H10" s="264"/>
      <c r="I10" s="264"/>
      <c r="J10" s="264"/>
      <c r="K10" s="264"/>
      <c r="L10" s="264"/>
      <c r="M10" s="60"/>
    </row>
    <row r="11" spans="2:13" ht="12.75">
      <c r="B11" s="344" t="s">
        <v>489</v>
      </c>
      <c r="C11" s="264"/>
      <c r="D11" s="264"/>
      <c r="E11" s="264"/>
      <c r="F11" s="264"/>
      <c r="G11" s="264"/>
      <c r="H11" s="264"/>
      <c r="I11" s="264"/>
      <c r="J11" s="264"/>
      <c r="K11" s="264"/>
      <c r="L11" s="264"/>
      <c r="M11" s="60"/>
    </row>
    <row r="12" spans="2:13" ht="12.75">
      <c r="B12" s="266" t="s">
        <v>490</v>
      </c>
      <c r="C12" s="264"/>
      <c r="D12" s="264"/>
      <c r="E12" s="264"/>
      <c r="F12" s="264"/>
      <c r="G12" s="264"/>
      <c r="H12" s="264"/>
      <c r="I12" s="264"/>
      <c r="J12" s="264"/>
      <c r="K12" s="264"/>
      <c r="L12" s="264"/>
      <c r="M12" s="60"/>
    </row>
    <row r="14" spans="2:13" ht="12.75">
      <c r="B14" s="105" t="s">
        <v>224</v>
      </c>
    </row>
    <row r="15" spans="2:13" ht="25.5">
      <c r="B15" s="93" t="s">
        <v>491</v>
      </c>
      <c r="C15" s="61" t="s">
        <v>492</v>
      </c>
      <c r="D15" s="61" t="s">
        <v>493</v>
      </c>
      <c r="E15" s="61" t="s">
        <v>494</v>
      </c>
      <c r="F15" s="61" t="s">
        <v>224</v>
      </c>
      <c r="G15" s="61" t="s">
        <v>382</v>
      </c>
      <c r="H15" s="61" t="s">
        <v>383</v>
      </c>
      <c r="I15" s="61" t="s">
        <v>384</v>
      </c>
      <c r="J15" s="61" t="s">
        <v>304</v>
      </c>
      <c r="K15" s="61" t="s">
        <v>29</v>
      </c>
      <c r="L15" s="62" t="s">
        <v>465</v>
      </c>
    </row>
    <row r="16" spans="2:13" ht="12.75">
      <c r="B16" s="63" t="s">
        <v>495</v>
      </c>
      <c r="C16" s="71"/>
      <c r="D16" s="252"/>
      <c r="E16" s="71"/>
      <c r="F16" s="72">
        <f>IF(Tbl_Capital[[#This Row],[Useful Life
Yrs.]]=0,0,(Tbl_Capital[[#This Row],[Replacement Cost]]-Tbl_Capital[[#This Row],[Sale Price]])/Tbl_Capital[[#This Row],[Useful Life
Yrs.]])</f>
        <v>0</v>
      </c>
      <c r="G16" s="99"/>
      <c r="H16" s="99"/>
      <c r="I16" s="99"/>
      <c r="J16" s="99"/>
      <c r="K16" s="99"/>
      <c r="L16" s="65">
        <f>IF(Tbl_Capital[[#This Row],[Capital Allocation]]=0,0,SUM(Tbl_Capital[[#This Row],[Interments]:[Administration]])-1)</f>
        <v>0</v>
      </c>
    </row>
    <row r="17" spans="2:12" ht="12.75">
      <c r="B17" s="63" t="s">
        <v>496</v>
      </c>
      <c r="C17" s="71"/>
      <c r="D17" s="252"/>
      <c r="E17" s="71"/>
      <c r="F17" s="72">
        <f>IF(Tbl_Capital[[#This Row],[Useful Life
Yrs.]]=0,0,(Tbl_Capital[[#This Row],[Replacement Cost]]-Tbl_Capital[[#This Row],[Sale Price]])/Tbl_Capital[[#This Row],[Useful Life
Yrs.]])</f>
        <v>0</v>
      </c>
      <c r="G17" s="99"/>
      <c r="H17" s="99"/>
      <c r="I17" s="99"/>
      <c r="J17" s="99"/>
      <c r="K17" s="99"/>
      <c r="L17" s="65">
        <f>IF(Tbl_Capital[[#This Row],[Capital Allocation]]=0,0,SUM(Tbl_Capital[[#This Row],[Interments]:[Administration]])-1)</f>
        <v>0</v>
      </c>
    </row>
    <row r="18" spans="2:12" ht="12.75">
      <c r="B18" s="63" t="s">
        <v>497</v>
      </c>
      <c r="C18" s="71"/>
      <c r="D18" s="252"/>
      <c r="E18" s="71"/>
      <c r="F18" s="72">
        <f>IF(Tbl_Capital[[#This Row],[Useful Life
Yrs.]]=0,0,(Tbl_Capital[[#This Row],[Replacement Cost]]-Tbl_Capital[[#This Row],[Sale Price]])/Tbl_Capital[[#This Row],[Useful Life
Yrs.]])</f>
        <v>0</v>
      </c>
      <c r="G18" s="99"/>
      <c r="H18" s="99"/>
      <c r="I18" s="99"/>
      <c r="J18" s="99"/>
      <c r="K18" s="99"/>
      <c r="L18" s="65">
        <f>IF(Tbl_Capital[[#This Row],[Capital Allocation]]=0,0,SUM(Tbl_Capital[[#This Row],[Interments]:[Administration]])-1)</f>
        <v>0</v>
      </c>
    </row>
    <row r="19" spans="2:12" ht="12.75">
      <c r="B19" s="63" t="s">
        <v>498</v>
      </c>
      <c r="C19" s="71"/>
      <c r="D19" s="252"/>
      <c r="E19" s="71"/>
      <c r="F19" s="72">
        <f>IF(Tbl_Capital[[#This Row],[Useful Life
Yrs.]]=0,0,(Tbl_Capital[[#This Row],[Replacement Cost]]-Tbl_Capital[[#This Row],[Sale Price]])/Tbl_Capital[[#This Row],[Useful Life
Yrs.]])</f>
        <v>0</v>
      </c>
      <c r="G19" s="99"/>
      <c r="H19" s="99"/>
      <c r="I19" s="99"/>
      <c r="J19" s="99"/>
      <c r="K19" s="99"/>
      <c r="L19" s="65">
        <f>IF(Tbl_Capital[[#This Row],[Capital Allocation]]=0,0,SUM(Tbl_Capital[[#This Row],[Interments]:[Administration]])-1)</f>
        <v>0</v>
      </c>
    </row>
    <row r="20" spans="2:12" ht="12.75">
      <c r="B20" s="63" t="s">
        <v>499</v>
      </c>
      <c r="C20" s="71"/>
      <c r="D20" s="252"/>
      <c r="E20" s="71"/>
      <c r="F20" s="72">
        <f>IF(Tbl_Capital[[#This Row],[Useful Life
Yrs.]]=0,0,(Tbl_Capital[[#This Row],[Replacement Cost]]-Tbl_Capital[[#This Row],[Sale Price]])/Tbl_Capital[[#This Row],[Useful Life
Yrs.]])</f>
        <v>0</v>
      </c>
      <c r="G20" s="99"/>
      <c r="H20" s="99"/>
      <c r="I20" s="99"/>
      <c r="J20" s="99"/>
      <c r="K20" s="99"/>
      <c r="L20" s="65">
        <f>IF(Tbl_Capital[[#This Row],[Capital Allocation]]=0,0,SUM(Tbl_Capital[[#This Row],[Interments]:[Administration]])-1)</f>
        <v>0</v>
      </c>
    </row>
    <row r="21" spans="2:12" ht="12.75">
      <c r="B21" s="63" t="s">
        <v>500</v>
      </c>
      <c r="C21" s="71"/>
      <c r="D21" s="252"/>
      <c r="E21" s="71"/>
      <c r="F21" s="72">
        <f>IF(Tbl_Capital[[#This Row],[Useful Life
Yrs.]]=0,0,(Tbl_Capital[[#This Row],[Replacement Cost]]-Tbl_Capital[[#This Row],[Sale Price]])/Tbl_Capital[[#This Row],[Useful Life
Yrs.]])</f>
        <v>0</v>
      </c>
      <c r="G21" s="99"/>
      <c r="H21" s="99"/>
      <c r="I21" s="99"/>
      <c r="J21" s="99"/>
      <c r="K21" s="99"/>
      <c r="L21" s="65">
        <f>IF(Tbl_Capital[[#This Row],[Capital Allocation]]=0,0,SUM(Tbl_Capital[[#This Row],[Interments]:[Administration]])-1)</f>
        <v>0</v>
      </c>
    </row>
    <row r="22" spans="2:12" ht="12.75">
      <c r="B22" s="63" t="s">
        <v>501</v>
      </c>
      <c r="C22" s="71"/>
      <c r="D22" s="252"/>
      <c r="E22" s="71"/>
      <c r="F22" s="72">
        <f>IF(Tbl_Capital[[#This Row],[Useful Life
Yrs.]]=0,0,(Tbl_Capital[[#This Row],[Replacement Cost]]-Tbl_Capital[[#This Row],[Sale Price]])/Tbl_Capital[[#This Row],[Useful Life
Yrs.]])</f>
        <v>0</v>
      </c>
      <c r="G22" s="99"/>
      <c r="H22" s="99"/>
      <c r="I22" s="99"/>
      <c r="J22" s="99"/>
      <c r="K22" s="99"/>
      <c r="L22" s="65">
        <f>IF(Tbl_Capital[[#This Row],[Capital Allocation]]=0,0,SUM(Tbl_Capital[[#This Row],[Interments]:[Administration]])-1)</f>
        <v>0</v>
      </c>
    </row>
    <row r="23" spans="2:12" ht="12.75">
      <c r="B23" s="63" t="s">
        <v>502</v>
      </c>
      <c r="C23" s="71"/>
      <c r="D23" s="252"/>
      <c r="E23" s="71"/>
      <c r="F23" s="72">
        <f>IF(Tbl_Capital[[#This Row],[Useful Life
Yrs.]]=0,0,(Tbl_Capital[[#This Row],[Replacement Cost]]-Tbl_Capital[[#This Row],[Sale Price]])/Tbl_Capital[[#This Row],[Useful Life
Yrs.]])</f>
        <v>0</v>
      </c>
      <c r="G23" s="99"/>
      <c r="H23" s="99"/>
      <c r="I23" s="99"/>
      <c r="J23" s="99"/>
      <c r="K23" s="99"/>
      <c r="L23" s="65">
        <f>IF(Tbl_Capital[[#This Row],[Capital Allocation]]=0,0,SUM(Tbl_Capital[[#This Row],[Interments]:[Administration]])-1)</f>
        <v>0</v>
      </c>
    </row>
    <row r="24" spans="2:12" ht="12.75">
      <c r="B24" s="63" t="s">
        <v>502</v>
      </c>
      <c r="C24" s="71"/>
      <c r="D24" s="252"/>
      <c r="E24" s="71"/>
      <c r="F24" s="72">
        <f>IF(Tbl_Capital[[#This Row],[Useful Life
Yrs.]]=0,0,(Tbl_Capital[[#This Row],[Replacement Cost]]-Tbl_Capital[[#This Row],[Sale Price]])/Tbl_Capital[[#This Row],[Useful Life
Yrs.]])</f>
        <v>0</v>
      </c>
      <c r="G24" s="99"/>
      <c r="H24" s="99"/>
      <c r="I24" s="99"/>
      <c r="J24" s="99"/>
      <c r="K24" s="99"/>
      <c r="L24" s="65">
        <f>IF(Tbl_Capital[[#This Row],[Capital Allocation]]=0,0,SUM(Tbl_Capital[[#This Row],[Interments]:[Administration]])-1)</f>
        <v>0</v>
      </c>
    </row>
    <row r="25" spans="2:12" ht="12.75">
      <c r="B25" s="63" t="s">
        <v>503</v>
      </c>
      <c r="C25" s="71"/>
      <c r="D25" s="252"/>
      <c r="E25" s="71"/>
      <c r="F25" s="72">
        <f>IF(Tbl_Capital[[#This Row],[Useful Life
Yrs.]]=0,0,(Tbl_Capital[[#This Row],[Replacement Cost]]-Tbl_Capital[[#This Row],[Sale Price]])/Tbl_Capital[[#This Row],[Useful Life
Yrs.]])</f>
        <v>0</v>
      </c>
      <c r="G25" s="99"/>
      <c r="H25" s="99"/>
      <c r="I25" s="99"/>
      <c r="J25" s="99"/>
      <c r="K25" s="99"/>
      <c r="L25" s="65">
        <f>IF(Tbl_Capital[[#This Row],[Capital Allocation]]=0,0,SUM(Tbl_Capital[[#This Row],[Interments]:[Administration]])-1)</f>
        <v>0</v>
      </c>
    </row>
    <row r="26" spans="2:12" ht="12.75">
      <c r="B26" s="63" t="s">
        <v>504</v>
      </c>
      <c r="C26" s="71"/>
      <c r="D26" s="252"/>
      <c r="E26" s="71"/>
      <c r="F26" s="72">
        <f>IF(Tbl_Capital[[#This Row],[Useful Life
Yrs.]]=0,0,(Tbl_Capital[[#This Row],[Replacement Cost]]-Tbl_Capital[[#This Row],[Sale Price]])/Tbl_Capital[[#This Row],[Useful Life
Yrs.]])</f>
        <v>0</v>
      </c>
      <c r="G26" s="99"/>
      <c r="H26" s="99"/>
      <c r="I26" s="99"/>
      <c r="J26" s="99"/>
      <c r="K26" s="99"/>
      <c r="L26" s="65">
        <f>IF(Tbl_Capital[[#This Row],[Capital Allocation]]=0,0,SUM(Tbl_Capital[[#This Row],[Interments]:[Administration]])-1)</f>
        <v>0</v>
      </c>
    </row>
    <row r="27" spans="2:12" ht="12.75">
      <c r="B27" s="63" t="s">
        <v>505</v>
      </c>
      <c r="C27" s="71"/>
      <c r="D27" s="252"/>
      <c r="E27" s="71"/>
      <c r="F27" s="72">
        <f>IF(Tbl_Capital[[#This Row],[Useful Life
Yrs.]]=0,0,(Tbl_Capital[[#This Row],[Replacement Cost]]-Tbl_Capital[[#This Row],[Sale Price]])/Tbl_Capital[[#This Row],[Useful Life
Yrs.]])</f>
        <v>0</v>
      </c>
      <c r="G27" s="99"/>
      <c r="H27" s="99"/>
      <c r="I27" s="99"/>
      <c r="J27" s="99"/>
      <c r="K27" s="99"/>
      <c r="L27" s="65">
        <f>IF(Tbl_Capital[[#This Row],[Capital Allocation]]=0,0,SUM(Tbl_Capital[[#This Row],[Interments]:[Administration]])-1)</f>
        <v>0</v>
      </c>
    </row>
    <row r="28" spans="2:12" ht="12.75">
      <c r="B28" s="63" t="s">
        <v>506</v>
      </c>
      <c r="C28" s="71"/>
      <c r="D28" s="252"/>
      <c r="E28" s="71"/>
      <c r="F28" s="72">
        <f>IF(Tbl_Capital[[#This Row],[Useful Life
Yrs.]]=0,0,(Tbl_Capital[[#This Row],[Replacement Cost]]-Tbl_Capital[[#This Row],[Sale Price]])/Tbl_Capital[[#This Row],[Useful Life
Yrs.]])</f>
        <v>0</v>
      </c>
      <c r="G28" s="99"/>
      <c r="H28" s="99"/>
      <c r="I28" s="99"/>
      <c r="J28" s="99"/>
      <c r="K28" s="99"/>
      <c r="L28" s="65">
        <f>IF(Tbl_Capital[[#This Row],[Capital Allocation]]=0,0,SUM(Tbl_Capital[[#This Row],[Interments]:[Administration]])-1)</f>
        <v>0</v>
      </c>
    </row>
    <row r="29" spans="2:12" ht="12.75">
      <c r="B29" s="63" t="s">
        <v>506</v>
      </c>
      <c r="C29" s="71"/>
      <c r="D29" s="252"/>
      <c r="E29" s="71"/>
      <c r="F29" s="72">
        <f>IF(Tbl_Capital[[#This Row],[Useful Life
Yrs.]]=0,0,(Tbl_Capital[[#This Row],[Replacement Cost]]-Tbl_Capital[[#This Row],[Sale Price]])/Tbl_Capital[[#This Row],[Useful Life
Yrs.]])</f>
        <v>0</v>
      </c>
      <c r="G29" s="99"/>
      <c r="H29" s="99"/>
      <c r="I29" s="99"/>
      <c r="J29" s="99"/>
      <c r="K29" s="99"/>
      <c r="L29" s="65">
        <f>IF(Tbl_Capital[[#This Row],[Capital Allocation]]=0,0,SUM(Tbl_Capital[[#This Row],[Interments]:[Administration]])-1)</f>
        <v>0</v>
      </c>
    </row>
    <row r="30" spans="2:12" ht="12.75">
      <c r="B30" s="63" t="s">
        <v>507</v>
      </c>
      <c r="C30" s="71"/>
      <c r="D30" s="252"/>
      <c r="E30" s="71"/>
      <c r="F30" s="72">
        <f>IF(Tbl_Capital[[#This Row],[Useful Life
Yrs.]]=0,0,(Tbl_Capital[[#This Row],[Replacement Cost]]-Tbl_Capital[[#This Row],[Sale Price]])/Tbl_Capital[[#This Row],[Useful Life
Yrs.]])</f>
        <v>0</v>
      </c>
      <c r="G30" s="99"/>
      <c r="H30" s="99"/>
      <c r="I30" s="99"/>
      <c r="J30" s="99"/>
      <c r="K30" s="99"/>
      <c r="L30" s="65">
        <f>IF(Tbl_Capital[[#This Row],[Capital Allocation]]=0,0,SUM(Tbl_Capital[[#This Row],[Interments]:[Administration]])-1)</f>
        <v>0</v>
      </c>
    </row>
    <row r="31" spans="2:12" ht="12.75">
      <c r="B31" s="63" t="s">
        <v>508</v>
      </c>
      <c r="C31" s="71"/>
      <c r="D31" s="252"/>
      <c r="E31" s="71"/>
      <c r="F31" s="72">
        <f>IF(Tbl_Capital[[#This Row],[Useful Life
Yrs.]]=0,0,(Tbl_Capital[[#This Row],[Replacement Cost]]-Tbl_Capital[[#This Row],[Sale Price]])/Tbl_Capital[[#This Row],[Useful Life
Yrs.]])</f>
        <v>0</v>
      </c>
      <c r="G31" s="99"/>
      <c r="H31" s="99"/>
      <c r="I31" s="99"/>
      <c r="J31" s="99"/>
      <c r="K31" s="99"/>
      <c r="L31" s="65">
        <f>IF(Tbl_Capital[[#This Row],[Capital Allocation]]=0,0,SUM(Tbl_Capital[[#This Row],[Interments]:[Administration]])-1)</f>
        <v>0</v>
      </c>
    </row>
    <row r="32" spans="2:12" ht="12.75">
      <c r="B32" s="63" t="s">
        <v>509</v>
      </c>
      <c r="C32" s="71"/>
      <c r="D32" s="252"/>
      <c r="E32" s="71"/>
      <c r="F32" s="72">
        <f>IF(Tbl_Capital[[#This Row],[Useful Life
Yrs.]]=0,0,(Tbl_Capital[[#This Row],[Replacement Cost]]-Tbl_Capital[[#This Row],[Sale Price]])/Tbl_Capital[[#This Row],[Useful Life
Yrs.]])</f>
        <v>0</v>
      </c>
      <c r="G32" s="99"/>
      <c r="H32" s="99"/>
      <c r="I32" s="99"/>
      <c r="J32" s="99"/>
      <c r="K32" s="99"/>
      <c r="L32" s="65">
        <f>IF(Tbl_Capital[[#This Row],[Capital Allocation]]=0,0,SUM(Tbl_Capital[[#This Row],[Interments]:[Administration]])-1)</f>
        <v>0</v>
      </c>
    </row>
    <row r="33" spans="2:12" ht="12.75">
      <c r="B33" s="63" t="s">
        <v>510</v>
      </c>
      <c r="C33" s="71"/>
      <c r="D33" s="252"/>
      <c r="E33" s="71"/>
      <c r="F33" s="72">
        <f>IF(Tbl_Capital[[#This Row],[Useful Life
Yrs.]]=0,0,(Tbl_Capital[[#This Row],[Replacement Cost]]-Tbl_Capital[[#This Row],[Sale Price]])/Tbl_Capital[[#This Row],[Useful Life
Yrs.]])</f>
        <v>0</v>
      </c>
      <c r="G33" s="99"/>
      <c r="H33" s="99"/>
      <c r="I33" s="99"/>
      <c r="J33" s="99"/>
      <c r="K33" s="99"/>
      <c r="L33" s="65">
        <f>IF(Tbl_Capital[[#This Row],[Capital Allocation]]=0,0,SUM(Tbl_Capital[[#This Row],[Interments]:[Administration]])-1)</f>
        <v>0</v>
      </c>
    </row>
    <row r="34" spans="2:12" ht="12.75">
      <c r="B34" s="63" t="s">
        <v>511</v>
      </c>
      <c r="C34" s="71"/>
      <c r="D34" s="252"/>
      <c r="E34" s="71"/>
      <c r="F34" s="72">
        <f>IF(Tbl_Capital[[#This Row],[Useful Life
Yrs.]]=0,0,(Tbl_Capital[[#This Row],[Replacement Cost]]-Tbl_Capital[[#This Row],[Sale Price]])/Tbl_Capital[[#This Row],[Useful Life
Yrs.]])</f>
        <v>0</v>
      </c>
      <c r="G34" s="99"/>
      <c r="H34" s="99"/>
      <c r="I34" s="99"/>
      <c r="J34" s="99"/>
      <c r="K34" s="99"/>
      <c r="L34" s="65">
        <f>IF(Tbl_Capital[[#This Row],[Capital Allocation]]=0,0,SUM(Tbl_Capital[[#This Row],[Interments]:[Administration]])-1)</f>
        <v>0</v>
      </c>
    </row>
    <row r="35" spans="2:12" ht="12.75">
      <c r="B35" s="63"/>
      <c r="C35" s="71"/>
      <c r="D35" s="252"/>
      <c r="E35" s="71"/>
      <c r="F35" s="72">
        <f>IF(Tbl_Capital[[#This Row],[Useful Life
Yrs.]]=0,0,(Tbl_Capital[[#This Row],[Replacement Cost]]-Tbl_Capital[[#This Row],[Sale Price]])/Tbl_Capital[[#This Row],[Useful Life
Yrs.]])</f>
        <v>0</v>
      </c>
      <c r="G35" s="99"/>
      <c r="H35" s="99"/>
      <c r="I35" s="99"/>
      <c r="J35" s="99"/>
      <c r="K35" s="99"/>
      <c r="L35" s="34">
        <f>IF(Tbl_Capital[[#This Row],[Capital Allocation]]=0,0,SUM(Tbl_Capital[[#This Row],[Interments]:[Administration]])-1)</f>
        <v>0</v>
      </c>
    </row>
    <row r="36" spans="2:12" ht="12.75">
      <c r="B36" s="63"/>
      <c r="C36" s="71"/>
      <c r="D36" s="252"/>
      <c r="E36" s="71"/>
      <c r="F36" s="72">
        <f>IF(Tbl_Capital[[#This Row],[Useful Life
Yrs.]]=0,0,(Tbl_Capital[[#This Row],[Replacement Cost]]-Tbl_Capital[[#This Row],[Sale Price]])/Tbl_Capital[[#This Row],[Useful Life
Yrs.]])</f>
        <v>0</v>
      </c>
      <c r="G36" s="99"/>
      <c r="H36" s="99"/>
      <c r="I36" s="99"/>
      <c r="J36" s="99"/>
      <c r="K36" s="99"/>
      <c r="L36" s="34">
        <f>IF(Tbl_Capital[[#This Row],[Capital Allocation]]=0,0,SUM(Tbl_Capital[[#This Row],[Interments]:[Administration]])-1)</f>
        <v>0</v>
      </c>
    </row>
    <row r="37" spans="2:12" ht="12.75">
      <c r="B37" s="63"/>
      <c r="C37" s="71"/>
      <c r="D37" s="252"/>
      <c r="E37" s="71"/>
      <c r="F37" s="72">
        <f>IF(Tbl_Capital[[#This Row],[Useful Life
Yrs.]]=0,0,(Tbl_Capital[[#This Row],[Replacement Cost]]-Tbl_Capital[[#This Row],[Sale Price]])/Tbl_Capital[[#This Row],[Useful Life
Yrs.]])</f>
        <v>0</v>
      </c>
      <c r="G37" s="99"/>
      <c r="H37" s="99"/>
      <c r="I37" s="99"/>
      <c r="J37" s="99"/>
      <c r="K37" s="99"/>
      <c r="L37" s="34">
        <f>IF(Tbl_Capital[[#This Row],[Capital Allocation]]=0,0,SUM(Tbl_Capital[[#This Row],[Interments]:[Administration]])-1)</f>
        <v>0</v>
      </c>
    </row>
    <row r="38" spans="2:12" ht="12.75">
      <c r="B38" s="63"/>
      <c r="C38" s="71"/>
      <c r="D38" s="252"/>
      <c r="E38" s="71"/>
      <c r="F38" s="72">
        <f>IF(Tbl_Capital[[#This Row],[Useful Life
Yrs.]]=0,0,(Tbl_Capital[[#This Row],[Replacement Cost]]-Tbl_Capital[[#This Row],[Sale Price]])/Tbl_Capital[[#This Row],[Useful Life
Yrs.]])</f>
        <v>0</v>
      </c>
      <c r="G38" s="99"/>
      <c r="H38" s="99"/>
      <c r="I38" s="99"/>
      <c r="J38" s="99"/>
      <c r="K38" s="99"/>
      <c r="L38" s="34">
        <f>IF(Tbl_Capital[[#This Row],[Capital Allocation]]=0,0,SUM(Tbl_Capital[[#This Row],[Interments]:[Administration]])-1)</f>
        <v>0</v>
      </c>
    </row>
    <row r="39" spans="2:12" ht="12.75">
      <c r="B39" s="63"/>
      <c r="C39" s="71"/>
      <c r="D39" s="252"/>
      <c r="E39" s="71"/>
      <c r="F39" s="72">
        <f>IF(Tbl_Capital[[#This Row],[Useful Life
Yrs.]]=0,0,(Tbl_Capital[[#This Row],[Replacement Cost]]-Tbl_Capital[[#This Row],[Sale Price]])/Tbl_Capital[[#This Row],[Useful Life
Yrs.]])</f>
        <v>0</v>
      </c>
      <c r="G39" s="99"/>
      <c r="H39" s="99"/>
      <c r="I39" s="99"/>
      <c r="J39" s="99"/>
      <c r="K39" s="99"/>
      <c r="L39" s="34">
        <f>IF(Tbl_Capital[[#This Row],[Capital Allocation]]=0,0,SUM(Tbl_Capital[[#This Row],[Interments]:[Administration]])-1)</f>
        <v>0</v>
      </c>
    </row>
    <row r="40" spans="2:12" ht="12.75">
      <c r="B40" s="63"/>
      <c r="C40" s="71"/>
      <c r="D40" s="252"/>
      <c r="E40" s="71"/>
      <c r="F40" s="72">
        <f>IF(Tbl_Capital[[#This Row],[Useful Life
Yrs.]]=0,0,(Tbl_Capital[[#This Row],[Replacement Cost]]-Tbl_Capital[[#This Row],[Sale Price]])/Tbl_Capital[[#This Row],[Useful Life
Yrs.]])</f>
        <v>0</v>
      </c>
      <c r="G40" s="99"/>
      <c r="H40" s="99"/>
      <c r="I40" s="99"/>
      <c r="J40" s="99"/>
      <c r="K40" s="99"/>
      <c r="L40" s="34">
        <f>IF(Tbl_Capital[[#This Row],[Capital Allocation]]=0,0,SUM(Tbl_Capital[[#This Row],[Interments]:[Administration]])-1)</f>
        <v>0</v>
      </c>
    </row>
    <row r="41" spans="2:12" ht="12.75">
      <c r="B41" s="63"/>
      <c r="C41" s="71"/>
      <c r="D41" s="252"/>
      <c r="E41" s="71"/>
      <c r="F41" s="72">
        <f>IF(Tbl_Capital[[#This Row],[Useful Life
Yrs.]]=0,0,(Tbl_Capital[[#This Row],[Replacement Cost]]-Tbl_Capital[[#This Row],[Sale Price]])/Tbl_Capital[[#This Row],[Useful Life
Yrs.]])</f>
        <v>0</v>
      </c>
      <c r="G41" s="99"/>
      <c r="H41" s="99"/>
      <c r="I41" s="99"/>
      <c r="J41" s="99"/>
      <c r="K41" s="99"/>
      <c r="L41" s="34">
        <f>IF(Tbl_Capital[[#This Row],[Capital Allocation]]=0,0,SUM(Tbl_Capital[[#This Row],[Interments]:[Administration]])-1)</f>
        <v>0</v>
      </c>
    </row>
    <row r="42" spans="2:12" ht="12.75">
      <c r="B42" s="63"/>
      <c r="C42" s="71"/>
      <c r="D42" s="252"/>
      <c r="E42" s="71"/>
      <c r="F42" s="72">
        <f>IF(Tbl_Capital[[#This Row],[Useful Life
Yrs.]]=0,0,(Tbl_Capital[[#This Row],[Replacement Cost]]-Tbl_Capital[[#This Row],[Sale Price]])/Tbl_Capital[[#This Row],[Useful Life
Yrs.]])</f>
        <v>0</v>
      </c>
      <c r="G42" s="99"/>
      <c r="H42" s="99"/>
      <c r="I42" s="99"/>
      <c r="J42" s="99"/>
      <c r="K42" s="99"/>
      <c r="L42" s="34">
        <f>IF(Tbl_Capital[[#This Row],[Capital Allocation]]=0,0,SUM(Tbl_Capital[[#This Row],[Interments]:[Administration]])-1)</f>
        <v>0</v>
      </c>
    </row>
    <row r="43" spans="2:12" ht="12.75">
      <c r="B43" s="63"/>
      <c r="C43" s="71"/>
      <c r="D43" s="252"/>
      <c r="E43" s="71"/>
      <c r="F43" s="72">
        <f>IF(Tbl_Capital[[#This Row],[Useful Life
Yrs.]]=0,0,(Tbl_Capital[[#This Row],[Replacement Cost]]-Tbl_Capital[[#This Row],[Sale Price]])/Tbl_Capital[[#This Row],[Useful Life
Yrs.]])</f>
        <v>0</v>
      </c>
      <c r="G43" s="99"/>
      <c r="H43" s="99"/>
      <c r="I43" s="99"/>
      <c r="J43" s="99"/>
      <c r="K43" s="99"/>
      <c r="L43" s="34">
        <f>IF(Tbl_Capital[[#This Row],[Capital Allocation]]=0,0,SUM(Tbl_Capital[[#This Row],[Interments]:[Administration]])-1)</f>
        <v>0</v>
      </c>
    </row>
    <row r="44" spans="2:12" ht="12.75">
      <c r="B44" s="63"/>
      <c r="C44" s="71"/>
      <c r="D44" s="252"/>
      <c r="E44" s="71"/>
      <c r="F44" s="72">
        <f>IF(Tbl_Capital[[#This Row],[Useful Life
Yrs.]]=0,0,(Tbl_Capital[[#This Row],[Replacement Cost]]-Tbl_Capital[[#This Row],[Sale Price]])/Tbl_Capital[[#This Row],[Useful Life
Yrs.]])</f>
        <v>0</v>
      </c>
      <c r="G44" s="99"/>
      <c r="H44" s="99"/>
      <c r="I44" s="99"/>
      <c r="J44" s="99"/>
      <c r="K44" s="99"/>
      <c r="L44" s="34">
        <f>IF(Tbl_Capital[[#This Row],[Capital Allocation]]=0,0,SUM(Tbl_Capital[[#This Row],[Interments]:[Administration]])-1)</f>
        <v>0</v>
      </c>
    </row>
    <row r="45" spans="2:12" ht="12.75">
      <c r="B45" s="63"/>
      <c r="C45" s="71"/>
      <c r="D45" s="252"/>
      <c r="E45" s="71"/>
      <c r="F45" s="72">
        <f>IF(Tbl_Capital[[#This Row],[Useful Life
Yrs.]]=0,0,(Tbl_Capital[[#This Row],[Replacement Cost]]-Tbl_Capital[[#This Row],[Sale Price]])/Tbl_Capital[[#This Row],[Useful Life
Yrs.]])</f>
        <v>0</v>
      </c>
      <c r="G45" s="99"/>
      <c r="H45" s="99"/>
      <c r="I45" s="99"/>
      <c r="J45" s="99"/>
      <c r="K45" s="99"/>
      <c r="L45" s="34">
        <f>IF(Tbl_Capital[[#This Row],[Capital Allocation]]=0,0,SUM(Tbl_Capital[[#This Row],[Interments]:[Administration]])-1)</f>
        <v>0</v>
      </c>
    </row>
    <row r="46" spans="2:12" ht="12.75">
      <c r="B46" s="63"/>
      <c r="C46" s="71"/>
      <c r="D46" s="252"/>
      <c r="E46" s="71"/>
      <c r="F46" s="72">
        <f>IF(Tbl_Capital[[#This Row],[Useful Life
Yrs.]]=0,0,(Tbl_Capital[[#This Row],[Replacement Cost]]-Tbl_Capital[[#This Row],[Sale Price]])/Tbl_Capital[[#This Row],[Useful Life
Yrs.]])</f>
        <v>0</v>
      </c>
      <c r="G46" s="99"/>
      <c r="H46" s="99"/>
      <c r="I46" s="99"/>
      <c r="J46" s="99"/>
      <c r="K46" s="99"/>
      <c r="L46" s="34">
        <f>IF(Tbl_Capital[[#This Row],[Capital Allocation]]=0,0,SUM(Tbl_Capital[[#This Row],[Interments]:[Administration]])-1)</f>
        <v>0</v>
      </c>
    </row>
    <row r="47" spans="2:12" ht="12.75">
      <c r="B47" s="63"/>
      <c r="C47" s="71"/>
      <c r="D47" s="252"/>
      <c r="E47" s="71"/>
      <c r="F47" s="72">
        <f>IF(Tbl_Capital[[#This Row],[Useful Life
Yrs.]]=0,0,(Tbl_Capital[[#This Row],[Replacement Cost]]-Tbl_Capital[[#This Row],[Sale Price]])/Tbl_Capital[[#This Row],[Useful Life
Yrs.]])</f>
        <v>0</v>
      </c>
      <c r="G47" s="99"/>
      <c r="H47" s="99"/>
      <c r="I47" s="99"/>
      <c r="J47" s="99"/>
      <c r="K47" s="99"/>
      <c r="L47" s="34">
        <f>IF(Tbl_Capital[[#This Row],[Capital Allocation]]=0,0,SUM(Tbl_Capital[[#This Row],[Interments]:[Administration]])-1)</f>
        <v>0</v>
      </c>
    </row>
    <row r="48" spans="2:12" ht="12.75">
      <c r="B48" s="63"/>
      <c r="C48" s="71"/>
      <c r="D48" s="252"/>
      <c r="E48" s="71"/>
      <c r="F48" s="72">
        <f>IF(Tbl_Capital[[#This Row],[Useful Life
Yrs.]]=0,0,(Tbl_Capital[[#This Row],[Replacement Cost]]-Tbl_Capital[[#This Row],[Sale Price]])/Tbl_Capital[[#This Row],[Useful Life
Yrs.]])</f>
        <v>0</v>
      </c>
      <c r="G48" s="99"/>
      <c r="H48" s="99"/>
      <c r="I48" s="99"/>
      <c r="J48" s="99"/>
      <c r="K48" s="99"/>
      <c r="L48" s="34">
        <f>IF(Tbl_Capital[[#This Row],[Capital Allocation]]=0,0,SUM(Tbl_Capital[[#This Row],[Interments]:[Administration]])-1)</f>
        <v>0</v>
      </c>
    </row>
    <row r="49" spans="2:12" ht="12.75">
      <c r="B49" s="63"/>
      <c r="C49" s="71"/>
      <c r="D49" s="252"/>
      <c r="E49" s="71"/>
      <c r="F49" s="72">
        <f>IF(Tbl_Capital[[#This Row],[Useful Life
Yrs.]]=0,0,(Tbl_Capital[[#This Row],[Replacement Cost]]-Tbl_Capital[[#This Row],[Sale Price]])/Tbl_Capital[[#This Row],[Useful Life
Yrs.]])</f>
        <v>0</v>
      </c>
      <c r="G49" s="99"/>
      <c r="H49" s="99"/>
      <c r="I49" s="99"/>
      <c r="J49" s="99"/>
      <c r="K49" s="99"/>
      <c r="L49" s="34">
        <f>IF(Tbl_Capital[[#This Row],[Capital Allocation]]=0,0,SUM(Tbl_Capital[[#This Row],[Interments]:[Administration]])-1)</f>
        <v>0</v>
      </c>
    </row>
    <row r="50" spans="2:12" ht="12.75">
      <c r="B50" s="63"/>
      <c r="C50" s="71"/>
      <c r="D50" s="252"/>
      <c r="E50" s="71"/>
      <c r="F50" s="72">
        <f>IF(Tbl_Capital[[#This Row],[Useful Life
Yrs.]]=0,0,(Tbl_Capital[[#This Row],[Replacement Cost]]-Tbl_Capital[[#This Row],[Sale Price]])/Tbl_Capital[[#This Row],[Useful Life
Yrs.]])</f>
        <v>0</v>
      </c>
      <c r="G50" s="99"/>
      <c r="H50" s="99"/>
      <c r="I50" s="99"/>
      <c r="J50" s="99"/>
      <c r="K50" s="99"/>
      <c r="L50" s="34">
        <f>IF(Tbl_Capital[[#This Row],[Capital Allocation]]=0,0,SUM(Tbl_Capital[[#This Row],[Interments]:[Administration]])-1)</f>
        <v>0</v>
      </c>
    </row>
    <row r="51" spans="2:12" ht="12.75">
      <c r="B51" s="63"/>
      <c r="C51" s="71"/>
      <c r="D51" s="252"/>
      <c r="E51" s="71"/>
      <c r="F51" s="72">
        <f>IF(Tbl_Capital[[#This Row],[Useful Life
Yrs.]]=0,0,(Tbl_Capital[[#This Row],[Replacement Cost]]-Tbl_Capital[[#This Row],[Sale Price]])/Tbl_Capital[[#This Row],[Useful Life
Yrs.]])</f>
        <v>0</v>
      </c>
      <c r="G51" s="99"/>
      <c r="H51" s="99"/>
      <c r="I51" s="99"/>
      <c r="J51" s="99"/>
      <c r="K51" s="99"/>
      <c r="L51" s="34">
        <f>IF(Tbl_Capital[[#This Row],[Capital Allocation]]=0,0,SUM(Tbl_Capital[[#This Row],[Interments]:[Administration]])-1)</f>
        <v>0</v>
      </c>
    </row>
    <row r="52" spans="2:12" ht="12.75">
      <c r="B52" s="63"/>
      <c r="C52" s="71"/>
      <c r="D52" s="252"/>
      <c r="E52" s="71"/>
      <c r="F52" s="72">
        <f>IF(Tbl_Capital[[#This Row],[Useful Life
Yrs.]]=0,0,(Tbl_Capital[[#This Row],[Replacement Cost]]-Tbl_Capital[[#This Row],[Sale Price]])/Tbl_Capital[[#This Row],[Useful Life
Yrs.]])</f>
        <v>0</v>
      </c>
      <c r="G52" s="99"/>
      <c r="H52" s="99"/>
      <c r="I52" s="99"/>
      <c r="J52" s="99"/>
      <c r="K52" s="99"/>
      <c r="L52" s="34">
        <f>IF(Tbl_Capital[[#This Row],[Capital Allocation]]=0,0,SUM(Tbl_Capital[[#This Row],[Interments]:[Administration]])-1)</f>
        <v>0</v>
      </c>
    </row>
    <row r="53" spans="2:12" ht="12.75">
      <c r="B53" s="63"/>
      <c r="C53" s="71"/>
      <c r="D53" s="252"/>
      <c r="E53" s="71"/>
      <c r="F53" s="72">
        <f>IF(Tbl_Capital[[#This Row],[Useful Life
Yrs.]]=0,0,(Tbl_Capital[[#This Row],[Replacement Cost]]-Tbl_Capital[[#This Row],[Sale Price]])/Tbl_Capital[[#This Row],[Useful Life
Yrs.]])</f>
        <v>0</v>
      </c>
      <c r="G53" s="99"/>
      <c r="H53" s="99"/>
      <c r="I53" s="99"/>
      <c r="J53" s="99"/>
      <c r="K53" s="99"/>
      <c r="L53" s="34">
        <f>IF(Tbl_Capital[[#This Row],[Capital Allocation]]=0,0,SUM(Tbl_Capital[[#This Row],[Interments]:[Administration]])-1)</f>
        <v>0</v>
      </c>
    </row>
    <row r="54" spans="2:12" ht="12.75">
      <c r="B54" s="63"/>
      <c r="C54" s="71"/>
      <c r="D54" s="252"/>
      <c r="E54" s="71"/>
      <c r="F54" s="72">
        <f>IF(Tbl_Capital[[#This Row],[Useful Life
Yrs.]]=0,0,(Tbl_Capital[[#This Row],[Replacement Cost]]-Tbl_Capital[[#This Row],[Sale Price]])/Tbl_Capital[[#This Row],[Useful Life
Yrs.]])</f>
        <v>0</v>
      </c>
      <c r="G54" s="99"/>
      <c r="H54" s="99"/>
      <c r="I54" s="99"/>
      <c r="J54" s="99"/>
      <c r="K54" s="99"/>
      <c r="L54" s="34">
        <f>IF(Tbl_Capital[[#This Row],[Capital Allocation]]=0,0,SUM(Tbl_Capital[[#This Row],[Interments]:[Administration]])-1)</f>
        <v>0</v>
      </c>
    </row>
    <row r="55" spans="2:12" ht="12.75">
      <c r="B55" s="63"/>
      <c r="C55" s="71"/>
      <c r="D55" s="252"/>
      <c r="E55" s="71"/>
      <c r="F55" s="72">
        <f>IF(Tbl_Capital[[#This Row],[Useful Life
Yrs.]]=0,0,(Tbl_Capital[[#This Row],[Replacement Cost]]-Tbl_Capital[[#This Row],[Sale Price]])/Tbl_Capital[[#This Row],[Useful Life
Yrs.]])</f>
        <v>0</v>
      </c>
      <c r="G55" s="99"/>
      <c r="H55" s="99"/>
      <c r="I55" s="99"/>
      <c r="J55" s="99"/>
      <c r="K55" s="99"/>
      <c r="L55" s="34">
        <f>IF(Tbl_Capital[[#This Row],[Capital Allocation]]=0,0,SUM(Tbl_Capital[[#This Row],[Interments]:[Administration]])-1)</f>
        <v>0</v>
      </c>
    </row>
    <row r="56" spans="2:12" ht="12.75">
      <c r="B56" s="63"/>
      <c r="C56" s="71"/>
      <c r="D56" s="252"/>
      <c r="E56" s="71"/>
      <c r="F56" s="72">
        <f>IF(Tbl_Capital[[#This Row],[Useful Life
Yrs.]]=0,0,(Tbl_Capital[[#This Row],[Replacement Cost]]-Tbl_Capital[[#This Row],[Sale Price]])/Tbl_Capital[[#This Row],[Useful Life
Yrs.]])</f>
        <v>0</v>
      </c>
      <c r="G56" s="99"/>
      <c r="H56" s="99"/>
      <c r="I56" s="99"/>
      <c r="J56" s="99"/>
      <c r="K56" s="99"/>
      <c r="L56" s="34">
        <f>IF(Tbl_Capital[[#This Row],[Capital Allocation]]=0,0,SUM(Tbl_Capital[[#This Row],[Interments]:[Administration]])-1)</f>
        <v>0</v>
      </c>
    </row>
    <row r="57" spans="2:12" ht="12.75">
      <c r="B57" s="63"/>
      <c r="C57" s="71"/>
      <c r="D57" s="252"/>
      <c r="E57" s="71"/>
      <c r="F57" s="72">
        <f>IF(Tbl_Capital[[#This Row],[Useful Life
Yrs.]]=0,0,(Tbl_Capital[[#This Row],[Replacement Cost]]-Tbl_Capital[[#This Row],[Sale Price]])/Tbl_Capital[[#This Row],[Useful Life
Yrs.]])</f>
        <v>0</v>
      </c>
      <c r="G57" s="99"/>
      <c r="H57" s="99"/>
      <c r="I57" s="99"/>
      <c r="J57" s="99"/>
      <c r="K57" s="99"/>
      <c r="L57" s="34">
        <f>IF(Tbl_Capital[[#This Row],[Capital Allocation]]=0,0,SUM(Tbl_Capital[[#This Row],[Interments]:[Administration]])-1)</f>
        <v>0</v>
      </c>
    </row>
    <row r="58" spans="2:12" ht="12.75">
      <c r="B58" s="63"/>
      <c r="C58" s="71"/>
      <c r="D58" s="252"/>
      <c r="E58" s="71"/>
      <c r="F58" s="72">
        <f>IF(Tbl_Capital[[#This Row],[Useful Life
Yrs.]]=0,0,(Tbl_Capital[[#This Row],[Replacement Cost]]-Tbl_Capital[[#This Row],[Sale Price]])/Tbl_Capital[[#This Row],[Useful Life
Yrs.]])</f>
        <v>0</v>
      </c>
      <c r="G58" s="99"/>
      <c r="H58" s="99"/>
      <c r="I58" s="99"/>
      <c r="J58" s="99"/>
      <c r="K58" s="99"/>
      <c r="L58" s="34">
        <f>IF(Tbl_Capital[[#This Row],[Capital Allocation]]=0,0,SUM(Tbl_Capital[[#This Row],[Interments]:[Administration]])-1)</f>
        <v>0</v>
      </c>
    </row>
    <row r="59" spans="2:12" ht="12.75">
      <c r="B59" s="63"/>
      <c r="C59" s="71"/>
      <c r="D59" s="252"/>
      <c r="E59" s="71"/>
      <c r="F59" s="72">
        <f>IF(Tbl_Capital[[#This Row],[Useful Life
Yrs.]]=0,0,(Tbl_Capital[[#This Row],[Replacement Cost]]-Tbl_Capital[[#This Row],[Sale Price]])/Tbl_Capital[[#This Row],[Useful Life
Yrs.]])</f>
        <v>0</v>
      </c>
      <c r="G59" s="99"/>
      <c r="H59" s="99"/>
      <c r="I59" s="99"/>
      <c r="J59" s="99"/>
      <c r="K59" s="99"/>
      <c r="L59" s="34">
        <f>IF(Tbl_Capital[[#This Row],[Capital Allocation]]=0,0,SUM(Tbl_Capital[[#This Row],[Interments]:[Administration]])-1)</f>
        <v>0</v>
      </c>
    </row>
    <row r="60" spans="2:12" ht="12.75">
      <c r="B60" s="63"/>
      <c r="C60" s="71"/>
      <c r="D60" s="252"/>
      <c r="E60" s="71"/>
      <c r="F60" s="72">
        <f>IF(Tbl_Capital[[#This Row],[Useful Life
Yrs.]]=0,0,(Tbl_Capital[[#This Row],[Replacement Cost]]-Tbl_Capital[[#This Row],[Sale Price]])/Tbl_Capital[[#This Row],[Useful Life
Yrs.]])</f>
        <v>0</v>
      </c>
      <c r="G60" s="99"/>
      <c r="H60" s="99"/>
      <c r="I60" s="99"/>
      <c r="J60" s="99"/>
      <c r="K60" s="99"/>
      <c r="L60" s="34">
        <f>IF(Tbl_Capital[[#This Row],[Capital Allocation]]=0,0,SUM(Tbl_Capital[[#This Row],[Interments]:[Administration]])-1)</f>
        <v>0</v>
      </c>
    </row>
    <row r="61" spans="2:12" ht="12.75">
      <c r="B61" s="63"/>
      <c r="C61" s="71"/>
      <c r="D61" s="252"/>
      <c r="E61" s="71"/>
      <c r="F61" s="72">
        <f>IF(Tbl_Capital[[#This Row],[Useful Life
Yrs.]]=0,0,(Tbl_Capital[[#This Row],[Replacement Cost]]-Tbl_Capital[[#This Row],[Sale Price]])/Tbl_Capital[[#This Row],[Useful Life
Yrs.]])</f>
        <v>0</v>
      </c>
      <c r="G61" s="99"/>
      <c r="H61" s="99"/>
      <c r="I61" s="99"/>
      <c r="J61" s="99"/>
      <c r="K61" s="99"/>
      <c r="L61" s="34">
        <f>IF(Tbl_Capital[[#This Row],[Capital Allocation]]=0,0,SUM(Tbl_Capital[[#This Row],[Interments]:[Administration]])-1)</f>
        <v>0</v>
      </c>
    </row>
    <row r="62" spans="2:12" ht="12.75">
      <c r="B62" s="63"/>
      <c r="C62" s="71"/>
      <c r="D62" s="252"/>
      <c r="E62" s="71"/>
      <c r="F62" s="72">
        <f>IF(Tbl_Capital[[#This Row],[Useful Life
Yrs.]]=0,0,(Tbl_Capital[[#This Row],[Replacement Cost]]-Tbl_Capital[[#This Row],[Sale Price]])/Tbl_Capital[[#This Row],[Useful Life
Yrs.]])</f>
        <v>0</v>
      </c>
      <c r="G62" s="99"/>
      <c r="H62" s="99"/>
      <c r="I62" s="99"/>
      <c r="J62" s="99"/>
      <c r="K62" s="99"/>
      <c r="L62" s="34">
        <f>IF(Tbl_Capital[[#This Row],[Capital Allocation]]=0,0,SUM(Tbl_Capital[[#This Row],[Interments]:[Administration]])-1)</f>
        <v>0</v>
      </c>
    </row>
    <row r="63" spans="2:12" ht="12.75">
      <c r="B63" s="63"/>
      <c r="C63" s="71"/>
      <c r="D63" s="252"/>
      <c r="E63" s="71"/>
      <c r="F63" s="72">
        <f>IF(Tbl_Capital[[#This Row],[Useful Life
Yrs.]]=0,0,(Tbl_Capital[[#This Row],[Replacement Cost]]-Tbl_Capital[[#This Row],[Sale Price]])/Tbl_Capital[[#This Row],[Useful Life
Yrs.]])</f>
        <v>0</v>
      </c>
      <c r="G63" s="99"/>
      <c r="H63" s="99"/>
      <c r="I63" s="99"/>
      <c r="J63" s="99"/>
      <c r="K63" s="99"/>
      <c r="L63" s="34">
        <f>IF(Tbl_Capital[[#This Row],[Capital Allocation]]=0,0,SUM(Tbl_Capital[[#This Row],[Interments]:[Administration]])-1)</f>
        <v>0</v>
      </c>
    </row>
    <row r="64" spans="2:12" ht="13.5" thickBot="1">
      <c r="B64" s="63"/>
      <c r="C64" s="71"/>
      <c r="D64" s="252"/>
      <c r="E64" s="71"/>
      <c r="F64" s="72">
        <f>IF(Tbl_Capital[[#This Row],[Useful Life
Yrs.]]=0,0,(Tbl_Capital[[#This Row],[Replacement Cost]]-Tbl_Capital[[#This Row],[Sale Price]])/Tbl_Capital[[#This Row],[Useful Life
Yrs.]])</f>
        <v>0</v>
      </c>
      <c r="G64" s="99"/>
      <c r="H64" s="99"/>
      <c r="I64" s="99"/>
      <c r="J64" s="99"/>
      <c r="K64" s="99"/>
      <c r="L64" s="34">
        <f>IF(Tbl_Capital[[#This Row],[Capital Allocation]]=0,0,SUM(Tbl_Capital[[#This Row],[Interments]:[Administration]])-1)</f>
        <v>0</v>
      </c>
    </row>
    <row r="65" spans="2:12" ht="13.5" thickTop="1">
      <c r="B65" s="67" t="s">
        <v>159</v>
      </c>
      <c r="C65" s="70">
        <f>SUBTOTAL(109,Tbl_Capital[Replacement Cost])</f>
        <v>0</v>
      </c>
      <c r="D65" s="70"/>
      <c r="E65" s="70"/>
      <c r="F65" s="70">
        <f>SUBTOTAL(109,Tbl_Capital[Capital Allocation])</f>
        <v>0</v>
      </c>
      <c r="G65" s="70">
        <f>SUMPRODUCT(Tbl_Capital[Capital Allocation],Tbl_Capital[Interments])</f>
        <v>0</v>
      </c>
      <c r="H65" s="70">
        <f>SUMPRODUCT(Tbl_Capital[Capital Allocation],Tbl_Capital[Ground Maintenance])</f>
        <v>0</v>
      </c>
      <c r="I65" s="70">
        <f>SUMPRODUCT(Tbl_Capital[Capital Allocation],Tbl_Capital[Cremations])</f>
        <v>0</v>
      </c>
      <c r="J65" s="70">
        <f>SUMPRODUCT(Tbl_Capital[Capital Allocation],Tbl_Capital[Other Services])</f>
        <v>0</v>
      </c>
      <c r="K65" s="70">
        <f>SUMPRODUCT(Tbl_Capital[Capital Allocation],Tbl_Capital[Administration])</f>
        <v>0</v>
      </c>
      <c r="L65" s="66">
        <f>Tbl_Capital[[#Totals],[Capital Allocation]]-SUM(Tbl_Capital[[#Totals],[Interments]:[Administration]])</f>
        <v>0</v>
      </c>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181BD"/>
  </sheetPr>
  <dimension ref="A1:F65"/>
  <sheetViews>
    <sheetView showGridLines="0" zoomScale="110" zoomScaleNormal="110" workbookViewId="0">
      <selection activeCell="D47" sqref="D47"/>
    </sheetView>
  </sheetViews>
  <sheetFormatPr defaultColWidth="0" defaultRowHeight="11.25" customHeight="1"/>
  <cols>
    <col min="1" max="2" width="2.83203125" customWidth="1"/>
    <col min="3" max="3" width="16.5" customWidth="1"/>
    <col min="4" max="4" width="74" customWidth="1"/>
    <col min="5" max="5" width="33.5" customWidth="1"/>
    <col min="6" max="6" width="2.83203125" customWidth="1"/>
    <col min="7" max="16384" width="10.5" hidden="1"/>
  </cols>
  <sheetData>
    <row r="1" spans="2:5" ht="16.5" thickBot="1">
      <c r="B1" s="365" t="e">
        <f ca="1">RIGHT(CELL("filename",B1),LEN(CELL("filename",B1))-FIND("]",CELL("filename",B1)))</f>
        <v>#VALUE!</v>
      </c>
      <c r="C1" s="280"/>
      <c r="D1" s="280"/>
      <c r="E1" s="280"/>
    </row>
    <row r="2" spans="2:5" ht="12" thickTop="1"/>
    <row r="3" spans="2:5" s="1" customFormat="1" ht="12.75">
      <c r="B3" s="275" t="s">
        <v>7</v>
      </c>
      <c r="C3" s="60"/>
      <c r="D3" s="258"/>
      <c r="E3" s="60"/>
    </row>
    <row r="4" spans="2:5" s="1" customFormat="1" ht="12.75">
      <c r="B4" s="60"/>
      <c r="C4" s="258" t="s">
        <v>8</v>
      </c>
      <c r="D4" s="258"/>
      <c r="E4" s="60"/>
    </row>
    <row r="5" spans="2:5" s="1" customFormat="1" ht="12.75">
      <c r="B5" s="60"/>
      <c r="C5" s="258" t="s">
        <v>9</v>
      </c>
      <c r="D5" s="258"/>
      <c r="E5" s="60"/>
    </row>
    <row r="6" spans="2:5" s="1" customFormat="1" ht="12.75">
      <c r="B6" s="60"/>
      <c r="C6" s="258"/>
      <c r="D6" s="258"/>
      <c r="E6" s="60"/>
    </row>
    <row r="7" spans="2:5" s="1" customFormat="1" ht="12.75">
      <c r="B7" s="275" t="s">
        <v>10</v>
      </c>
      <c r="C7" s="258"/>
      <c r="D7" s="258"/>
      <c r="E7" s="60"/>
    </row>
    <row r="8" spans="2:5" s="1" customFormat="1" ht="12.75">
      <c r="B8" s="256"/>
      <c r="C8" s="257" t="s">
        <v>11</v>
      </c>
      <c r="D8" s="257"/>
      <c r="E8" s="264"/>
    </row>
    <row r="9" spans="2:5" s="1" customFormat="1" ht="12.75">
      <c r="B9" s="264"/>
      <c r="C9" s="284" t="s">
        <v>12</v>
      </c>
      <c r="D9" s="257"/>
      <c r="E9" s="264"/>
    </row>
    <row r="10" spans="2:5" s="1" customFormat="1" ht="12.75">
      <c r="B10" s="264"/>
      <c r="C10" s="284" t="s">
        <v>13</v>
      </c>
      <c r="D10" s="257"/>
      <c r="E10" s="264"/>
    </row>
    <row r="11" spans="2:5" s="1" customFormat="1" ht="12.75">
      <c r="B11" s="264"/>
      <c r="C11" s="284" t="s">
        <v>14</v>
      </c>
      <c r="D11" s="257"/>
      <c r="E11" s="264"/>
    </row>
    <row r="12" spans="2:5" s="1" customFormat="1" ht="12.75">
      <c r="B12" s="264"/>
      <c r="C12" s="285" t="s">
        <v>15</v>
      </c>
      <c r="D12" s="257"/>
      <c r="E12" s="264"/>
    </row>
    <row r="13" spans="2:5" s="1" customFormat="1" ht="12.75">
      <c r="B13" s="264"/>
      <c r="C13" s="284" t="s">
        <v>16</v>
      </c>
      <c r="D13" s="257"/>
      <c r="E13" s="264"/>
    </row>
    <row r="14" spans="2:5" s="1" customFormat="1" ht="12.75">
      <c r="B14" s="264"/>
      <c r="C14" s="284" t="s">
        <v>17</v>
      </c>
      <c r="D14" s="257"/>
      <c r="E14" s="264"/>
    </row>
    <row r="15" spans="2:5" s="1" customFormat="1" ht="12.75">
      <c r="B15" s="264"/>
      <c r="C15" s="284" t="s">
        <v>18</v>
      </c>
      <c r="D15" s="257"/>
      <c r="E15" s="264"/>
    </row>
    <row r="16" spans="2:5" s="1" customFormat="1" ht="4.1500000000000004" customHeight="1">
      <c r="B16" s="264"/>
      <c r="C16" s="257"/>
      <c r="D16" s="257"/>
      <c r="E16" s="264"/>
    </row>
    <row r="17" spans="2:5" s="1" customFormat="1" ht="12.75">
      <c r="B17" s="264"/>
      <c r="C17" s="286" t="s">
        <v>19</v>
      </c>
      <c r="D17" s="257"/>
      <c r="E17" s="264"/>
    </row>
    <row r="18" spans="2:5" s="1" customFormat="1" ht="12.75">
      <c r="B18" s="60"/>
      <c r="C18" s="258"/>
      <c r="D18" s="258"/>
      <c r="E18" s="60"/>
    </row>
    <row r="19" spans="2:5" ht="12.75">
      <c r="B19" s="275" t="s">
        <v>20</v>
      </c>
      <c r="C19" s="60"/>
      <c r="D19" s="60"/>
      <c r="E19" s="60"/>
    </row>
    <row r="20" spans="2:5" ht="4.1500000000000004" customHeight="1">
      <c r="B20" s="60"/>
      <c r="C20" s="60"/>
      <c r="D20" s="60"/>
      <c r="E20" s="60"/>
    </row>
    <row r="21" spans="2:5" ht="12.75">
      <c r="B21" s="60"/>
      <c r="C21" s="271"/>
      <c r="D21" s="259" t="s">
        <v>21</v>
      </c>
      <c r="E21" s="60"/>
    </row>
    <row r="22" spans="2:5" ht="4.1500000000000004" customHeight="1">
      <c r="B22" s="60"/>
      <c r="C22" s="60"/>
      <c r="D22" s="272"/>
      <c r="E22" s="60"/>
    </row>
    <row r="23" spans="2:5" ht="12.75">
      <c r="B23" s="60"/>
      <c r="C23" s="273"/>
      <c r="D23" s="259" t="s">
        <v>22</v>
      </c>
      <c r="E23" s="60"/>
    </row>
    <row r="24" spans="2:5" ht="4.1500000000000004" customHeight="1">
      <c r="B24" s="60"/>
      <c r="C24" s="60"/>
      <c r="D24" s="272"/>
      <c r="E24" s="60"/>
    </row>
    <row r="25" spans="2:5" ht="12.75">
      <c r="B25" s="60"/>
      <c r="C25" s="244"/>
      <c r="D25" s="259" t="s">
        <v>23</v>
      </c>
      <c r="E25" s="60"/>
    </row>
    <row r="26" spans="2:5" ht="4.1500000000000004" customHeight="1">
      <c r="B26" s="60"/>
      <c r="C26" s="60"/>
      <c r="D26" s="272"/>
      <c r="E26" s="60"/>
    </row>
    <row r="27" spans="2:5" ht="12.75">
      <c r="B27" s="60"/>
      <c r="C27" s="270" t="s">
        <v>24</v>
      </c>
      <c r="D27" s="259" t="s">
        <v>25</v>
      </c>
      <c r="E27" s="60"/>
    </row>
    <row r="28" spans="2:5" ht="4.1500000000000004" customHeight="1">
      <c r="B28" s="60"/>
      <c r="C28" s="60"/>
      <c r="D28" s="272"/>
      <c r="E28" s="60"/>
    </row>
    <row r="29" spans="2:5" ht="12.75">
      <c r="B29" s="60"/>
      <c r="C29" s="274"/>
      <c r="D29" s="259" t="s">
        <v>26</v>
      </c>
      <c r="E29" s="60"/>
    </row>
    <row r="30" spans="2:5" ht="4.1500000000000004" customHeight="1">
      <c r="B30" s="60"/>
      <c r="C30" s="60"/>
      <c r="D30" s="272"/>
      <c r="E30" s="60"/>
    </row>
    <row r="31" spans="2:5" ht="12.75">
      <c r="B31" s="60"/>
      <c r="C31" s="173" t="s">
        <v>27</v>
      </c>
      <c r="D31" s="60"/>
      <c r="E31" s="60"/>
    </row>
    <row r="32" spans="2:5" ht="12.75">
      <c r="C32" s="60"/>
      <c r="D32" s="60"/>
      <c r="E32" s="60"/>
    </row>
    <row r="33" spans="2:5" ht="12.75">
      <c r="B33" s="275" t="s">
        <v>28</v>
      </c>
      <c r="D33" s="60"/>
      <c r="E33" s="60"/>
    </row>
    <row r="34" spans="2:5" ht="4.1500000000000004" customHeight="1">
      <c r="C34" s="60"/>
      <c r="D34" s="60"/>
      <c r="E34" s="60"/>
    </row>
    <row r="35" spans="2:5" ht="12.75">
      <c r="C35" s="334"/>
      <c r="D35" s="259" t="s">
        <v>29</v>
      </c>
      <c r="E35" s="60"/>
    </row>
    <row r="36" spans="2:5" ht="4.1500000000000004" customHeight="1">
      <c r="C36" s="60"/>
      <c r="D36" s="259"/>
      <c r="E36" s="60"/>
    </row>
    <row r="37" spans="2:5" ht="12.75">
      <c r="C37" s="335"/>
      <c r="D37" s="259" t="s">
        <v>30</v>
      </c>
      <c r="E37" s="60"/>
    </row>
    <row r="38" spans="2:5" ht="4.1500000000000004" customHeight="1">
      <c r="C38" s="60"/>
      <c r="D38" s="259"/>
      <c r="E38" s="60"/>
    </row>
    <row r="39" spans="2:5" ht="12.75">
      <c r="C39" s="336"/>
      <c r="D39" s="259" t="s">
        <v>31</v>
      </c>
      <c r="E39" s="60"/>
    </row>
    <row r="40" spans="2:5" ht="4.1500000000000004" customHeight="1">
      <c r="C40" s="60"/>
      <c r="D40" s="259"/>
      <c r="E40" s="60"/>
    </row>
    <row r="41" spans="2:5" ht="12.75">
      <c r="C41" s="337"/>
      <c r="D41" s="259" t="s">
        <v>32</v>
      </c>
      <c r="E41" s="60"/>
    </row>
    <row r="42" spans="2:5" ht="12.75">
      <c r="C42" s="60"/>
      <c r="D42" s="60"/>
      <c r="E42" s="60"/>
    </row>
    <row r="43" spans="2:5" ht="12.75">
      <c r="B43" s="275" t="s">
        <v>33</v>
      </c>
      <c r="C43" s="60"/>
      <c r="D43" s="60"/>
      <c r="E43" s="60"/>
    </row>
    <row r="44" spans="2:5" ht="12.75">
      <c r="C44" s="245" t="s">
        <v>34</v>
      </c>
      <c r="D44" s="260" t="s">
        <v>35</v>
      </c>
      <c r="E44" s="60"/>
    </row>
    <row r="45" spans="2:5" ht="4.1500000000000004" customHeight="1">
      <c r="C45" s="60"/>
      <c r="D45" s="60"/>
      <c r="E45" s="60"/>
    </row>
    <row r="46" spans="2:5" ht="12.75">
      <c r="C46" s="246" t="s">
        <v>36</v>
      </c>
      <c r="D46" s="261" t="e">
        <f ca="1">MID(CELL("filename",$D$46),FIND("[",CELL("filename",$D$46))+1,FIND("]",CELL("filename",$D$46))-FIND("[",CELL("filename",$D$46))-1)</f>
        <v>#VALUE!</v>
      </c>
      <c r="E46" s="60"/>
    </row>
    <row r="47" spans="2:5" ht="4.1500000000000004" customHeight="1">
      <c r="C47" s="60"/>
      <c r="D47" s="60"/>
      <c r="E47" s="60"/>
    </row>
    <row r="48" spans="2:5" ht="12.75">
      <c r="C48" s="246" t="s">
        <v>37</v>
      </c>
      <c r="D48" s="246" t="s">
        <v>38</v>
      </c>
      <c r="E48" s="246" t="s">
        <v>39</v>
      </c>
    </row>
    <row r="49" spans="3:5" ht="12.75">
      <c r="C49" s="262">
        <v>45107</v>
      </c>
      <c r="D49" s="260" t="s">
        <v>40</v>
      </c>
      <c r="E49" s="260" t="s">
        <v>41</v>
      </c>
    </row>
    <row r="50" spans="3:5" ht="12.75">
      <c r="C50" s="262"/>
      <c r="D50" s="260"/>
      <c r="E50" s="260"/>
    </row>
    <row r="51" spans="3:5" ht="12.75">
      <c r="C51" s="262"/>
      <c r="D51" s="260"/>
      <c r="E51" s="260"/>
    </row>
    <row r="52" spans="3:5" ht="12.75">
      <c r="C52" s="262"/>
      <c r="D52" s="260"/>
      <c r="E52" s="260"/>
    </row>
    <row r="53" spans="3:5" ht="12.75">
      <c r="C53" s="262"/>
      <c r="D53" s="260"/>
      <c r="E53" s="260"/>
    </row>
    <row r="54" spans="3:5" ht="12.75">
      <c r="C54" s="262"/>
      <c r="D54" s="260"/>
      <c r="E54" s="260"/>
    </row>
    <row r="55" spans="3:5" ht="12.75">
      <c r="C55" s="262"/>
      <c r="D55" s="260"/>
      <c r="E55" s="260"/>
    </row>
    <row r="56" spans="3:5" ht="12.75">
      <c r="C56" s="262"/>
      <c r="D56" s="260"/>
      <c r="E56" s="260"/>
    </row>
    <row r="57" spans="3:5" ht="12.75">
      <c r="C57" s="262"/>
      <c r="D57" s="260"/>
      <c r="E57" s="260"/>
    </row>
    <row r="58" spans="3:5" ht="12.75">
      <c r="C58" s="262"/>
      <c r="D58" s="260"/>
      <c r="E58" s="260"/>
    </row>
    <row r="59" spans="3:5" ht="12.75">
      <c r="C59" s="262"/>
      <c r="D59" s="260"/>
      <c r="E59" s="260"/>
    </row>
    <row r="60" spans="3:5"/>
    <row r="61" spans="3:5"/>
    <row r="62" spans="3:5"/>
    <row r="63" spans="3:5"/>
    <row r="64" spans="3:5"/>
    <row r="65"/>
  </sheetData>
  <sheetProtection sheet="1" objects="1" scenarios="1"/>
  <pageMargins left="0.70866141732283472" right="0.70866141732283472" top="0.74803149606299213" bottom="0.74803149606299213" header="0.31496062992125984" footer="0.31496062992125984"/>
  <pageSetup paperSize="9" orientation="portrait" horizontalDpi="300" verticalDpi="300" r:id="rId1"/>
  <headerFooter>
    <oddFooter>&amp;L&amp;F&amp;R&amp;A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5181BD"/>
  </sheetPr>
  <dimension ref="A1:E26"/>
  <sheetViews>
    <sheetView showGridLines="0" zoomScaleNormal="100" workbookViewId="0">
      <selection activeCell="D47" sqref="D47"/>
    </sheetView>
  </sheetViews>
  <sheetFormatPr defaultColWidth="0" defaultRowHeight="11.25" zeroHeight="1"/>
  <cols>
    <col min="1" max="1" width="2.83203125" style="1" customWidth="1"/>
    <col min="2" max="2" width="34" style="1" customWidth="1"/>
    <col min="3" max="3" width="64.5" style="1" bestFit="1" customWidth="1"/>
    <col min="4" max="4" width="2.83203125" style="1" customWidth="1"/>
    <col min="5" max="5" width="20.83203125" style="1" hidden="1" customWidth="1"/>
    <col min="6" max="16384" width="9.5" style="1" hidden="1"/>
  </cols>
  <sheetData>
    <row r="1" spans="2:5" ht="16.5" thickBot="1">
      <c r="B1" s="365" t="str">
        <f>A_Name_Model</f>
        <v>Pricing Template</v>
      </c>
      <c r="C1" s="280" t="s">
        <v>42</v>
      </c>
    </row>
    <row r="2" spans="2:5" ht="12" thickTop="1"/>
    <row r="3" spans="2:5" ht="12.75">
      <c r="B3" s="276" t="s">
        <v>43</v>
      </c>
      <c r="C3" s="276"/>
      <c r="D3" s="2"/>
    </row>
    <row r="4" spans="2:5" ht="12">
      <c r="B4" s="329" t="e">
        <f ca="1">HYPERLINK("["&amp;A_Name_File&amp;"]'"&amp;E4&amp;"'!A1",E4)</f>
        <v>#VALUE!</v>
      </c>
      <c r="C4" t="s">
        <v>44</v>
      </c>
      <c r="D4" s="3"/>
      <c r="E4" s="1" t="e">
        <f ca="1">SUBSTITUTE(CELL("filename",Disclaimer!$A$1),A_File_Long,"")</f>
        <v>#VALUE!</v>
      </c>
    </row>
    <row r="5" spans="2:5" ht="12">
      <c r="B5" s="329" t="e">
        <f ca="1">HYPERLINK("["&amp;A_Name_File&amp;"]'"&amp;E5&amp;"'!A1",E5)</f>
        <v>#VALUE!</v>
      </c>
      <c r="C5" t="s">
        <v>45</v>
      </c>
      <c r="D5" s="3"/>
      <c r="E5" s="1" t="e">
        <f ca="1">SUBSTITUTE(CELL("filename",Introduction!$A$1),A_File_Long,"")</f>
        <v>#VALUE!</v>
      </c>
    </row>
    <row r="6" spans="2:5" ht="22.5">
      <c r="B6" s="329" t="e">
        <f ca="1">HYPERLINK("["&amp;A_Name_File&amp;"]'"&amp;E6&amp;"'!A1",E6)</f>
        <v>#VALUE!</v>
      </c>
      <c r="C6" s="328" t="s">
        <v>46</v>
      </c>
      <c r="D6" s="3"/>
      <c r="E6" s="1" t="e">
        <f ca="1">SUBSTITUTE(CELL("filename",Principles!$A$1),A_File_Long,"")</f>
        <v>#VALUE!</v>
      </c>
    </row>
    <row r="7" spans="2:5" ht="12">
      <c r="B7" s="329"/>
      <c r="D7" s="3"/>
    </row>
    <row r="8" spans="2:5" ht="12.75">
      <c r="B8" s="330" t="s">
        <v>47</v>
      </c>
      <c r="C8" s="277"/>
      <c r="D8" s="2"/>
    </row>
    <row r="9" spans="2:5" ht="12">
      <c r="B9" s="329" t="e">
        <f ca="1">HYPERLINK("["&amp;A_Name_File&amp;"]'"&amp;E9&amp;"'!A1",E9)</f>
        <v>#VALUE!</v>
      </c>
      <c r="C9" s="1" t="s">
        <v>48</v>
      </c>
      <c r="E9" s="1" t="e">
        <f ca="1">SUBSTITUTE(CELL("filename",'Basic Cremation'!$A$1),A_File_Long,"")</f>
        <v>#VALUE!</v>
      </c>
    </row>
    <row r="10" spans="2:5" ht="12">
      <c r="B10" s="329" t="e">
        <f ca="1">HYPERLINK("["&amp;A_Name_File&amp;"]'"&amp;E10&amp;"'!A1",E10)</f>
        <v>#VALUE!</v>
      </c>
      <c r="C10" s="247" t="s">
        <v>49</v>
      </c>
      <c r="E10" s="1" t="e">
        <f ca="1">SUBSTITUTE(CELL("filename",'Basic Burial and Memorial'!$A$1),A_File_Long,"")</f>
        <v>#VALUE!</v>
      </c>
    </row>
    <row r="11" spans="2:5">
      <c r="B11" s="331"/>
    </row>
    <row r="12" spans="2:5" ht="12.75">
      <c r="B12" s="332" t="s">
        <v>50</v>
      </c>
      <c r="C12" s="278"/>
      <c r="D12" s="2"/>
    </row>
    <row r="13" spans="2:5" ht="12">
      <c r="B13" s="329" t="e">
        <f ca="1">HYPERLINK("["&amp;A_Name_File&amp;"]'"&amp;E13&amp;"'!A1",E13)</f>
        <v>#VALUE!</v>
      </c>
      <c r="C13" s="1" t="s">
        <v>51</v>
      </c>
      <c r="E13" s="1" t="e">
        <f ca="1">SUBSTITUTE(CELL("filename",Interment!$A$1),A_File_Long,"")</f>
        <v>#VALUE!</v>
      </c>
    </row>
    <row r="14" spans="2:5" ht="12">
      <c r="B14" s="329" t="e">
        <f ca="1">HYPERLINK("["&amp;A_Name_File&amp;"]'"&amp;E14&amp;"'!A1",E14)</f>
        <v>#VALUE!</v>
      </c>
      <c r="C14" s="1" t="s">
        <v>52</v>
      </c>
      <c r="E14" s="1" t="e">
        <f ca="1">SUBSTITUTE(CELL("filename",Right_of_Interment!$A$1),A_File_Long,"")</f>
        <v>#VALUE!</v>
      </c>
    </row>
    <row r="15" spans="2:5" ht="12">
      <c r="B15" s="329" t="e">
        <f ca="1">HYPERLINK("["&amp;A_Name_File&amp;"]'"&amp;E15&amp;"'!A1",E15)</f>
        <v>#VALUE!</v>
      </c>
      <c r="C15" t="s">
        <v>53</v>
      </c>
      <c r="E15" s="1" t="e">
        <f ca="1">SUBSTITUTE(CELL("filename",Crematorium!$A$1),A_File_Long,"")</f>
        <v>#VALUE!</v>
      </c>
    </row>
    <row r="16" spans="2:5" ht="12">
      <c r="B16" s="329" t="e">
        <f ca="1">HYPERLINK("["&amp;A_Name_File&amp;"]'"&amp;E16&amp;"'!A1",E16)</f>
        <v>#VALUE!</v>
      </c>
      <c r="C16" t="s">
        <v>54</v>
      </c>
      <c r="E16" s="1" t="e">
        <f ca="1">SUBSTITUTE(CELL("filename",'Land Value'!$A$1),A_File_Long,"")</f>
        <v>#VALUE!</v>
      </c>
    </row>
    <row r="17" spans="2:5" ht="12">
      <c r="B17" s="329" t="e">
        <f ca="1">HYPERLINK("["&amp;A_Name_File&amp;"]'"&amp;E17&amp;"'!A1",E17)</f>
        <v>#VALUE!</v>
      </c>
      <c r="C17" t="s">
        <v>55</v>
      </c>
      <c r="E17" s="1" t="e">
        <f ca="1">SUBSTITUTE(CELL("filename",'Site Development'!$A$1),A_File_Long,"")</f>
        <v>#VALUE!</v>
      </c>
    </row>
    <row r="18" spans="2:5">
      <c r="B18" s="331"/>
    </row>
    <row r="19" spans="2:5" ht="12.75">
      <c r="B19" s="333" t="s">
        <v>56</v>
      </c>
      <c r="C19" s="279"/>
      <c r="D19" s="2"/>
    </row>
    <row r="20" spans="2:5" ht="12">
      <c r="B20" s="329" t="e">
        <f ca="1">HYPERLINK("["&amp;A_Name_File&amp;"]'"&amp;E20&amp;"'!A1",E20)</f>
        <v>#VALUE!</v>
      </c>
      <c r="C20" s="1" t="s">
        <v>57</v>
      </c>
      <c r="E20" s="1" t="e">
        <f ca="1">SUBSTITUTE(CELL("filename",'Operating Costs Summary'!$A$1),A_File_Long,"")</f>
        <v>#VALUE!</v>
      </c>
    </row>
    <row r="21" spans="2:5" ht="12">
      <c r="B21" s="329"/>
    </row>
    <row r="22" spans="2:5" ht="12">
      <c r="B22" s="329" t="e">
        <f ca="1">HYPERLINK("["&amp;A_Name_File&amp;"]'"&amp;E22&amp;"'!A1",E22)</f>
        <v>#VALUE!</v>
      </c>
      <c r="C22" t="s">
        <v>58</v>
      </c>
      <c r="E22" s="1" t="e">
        <f ca="1">SUBSTITUTE(CELL("filename",'Salary Wage Cost Inputs'!$A$1),A_File_Long,"")</f>
        <v>#VALUE!</v>
      </c>
    </row>
    <row r="23" spans="2:5" ht="12">
      <c r="B23" s="329" t="e">
        <f ca="1">HYPERLINK("["&amp;A_Name_File&amp;"]'"&amp;E23&amp;"'!A1",E23)</f>
        <v>#VALUE!</v>
      </c>
      <c r="C23" s="1" t="s">
        <v>59</v>
      </c>
      <c r="E23" s="1" t="e">
        <f ca="1">SUBSTITUTE(CELL("filename",'Operating Cost Inputs'!$A$1),A_File_Long,"")</f>
        <v>#VALUE!</v>
      </c>
    </row>
    <row r="24" spans="2:5" ht="12">
      <c r="B24" s="329" t="e">
        <f ca="1">HYPERLINK("["&amp;A_Name_File&amp;"]'"&amp;E24&amp;"'!A1",E24)</f>
        <v>#VALUE!</v>
      </c>
      <c r="C24" t="s">
        <v>60</v>
      </c>
      <c r="E24" s="1" t="e">
        <f ca="1">SUBSTITUTE(CELL("filename",'Other Cost Inputs'!$A$1),A_File_Long,"")</f>
        <v>#VALUE!</v>
      </c>
    </row>
    <row r="25" spans="2:5" ht="12">
      <c r="B25" s="329" t="e">
        <f ca="1">HYPERLINK("["&amp;A_Name_File&amp;"]'"&amp;E25&amp;"'!A1",E25)</f>
        <v>#VALUE!</v>
      </c>
      <c r="C25" t="s">
        <v>61</v>
      </c>
      <c r="E25" s="1" t="e">
        <f ca="1">SUBSTITUTE(CELL("filename",'Plant and Equipment Inputs'!$A$1),A_File_Long,"")</f>
        <v>#VALUE!</v>
      </c>
    </row>
    <row r="26" spans="2:5" ht="12">
      <c r="B26" s="3"/>
    </row>
  </sheetData>
  <sheetProtection sheet="1" objects="1" scenarios="1"/>
  <dataConsolidate/>
  <pageMargins left="0.70866141732283472" right="0.70866141732283472" top="0.74803149606299213" bottom="0.74803149606299213" header="0.31496062992125984" footer="0.31496062992125984"/>
  <pageSetup paperSize="9" orientation="portrait" horizontalDpi="300" verticalDpi="300" r:id="rId1"/>
  <headerFoot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5181BD"/>
  </sheetPr>
  <dimension ref="A1:K76"/>
  <sheetViews>
    <sheetView showGridLines="0" zoomScale="120" zoomScaleNormal="120" workbookViewId="0">
      <selection activeCell="G69" sqref="G69"/>
    </sheetView>
  </sheetViews>
  <sheetFormatPr defaultColWidth="0" defaultRowHeight="11.25"/>
  <cols>
    <col min="1" max="3" width="2.6640625" customWidth="1"/>
    <col min="4" max="4" width="35" customWidth="1"/>
    <col min="5" max="5" width="8.6640625" customWidth="1"/>
    <col min="6" max="6" width="72" customWidth="1"/>
    <col min="7" max="7" width="42.5" customWidth="1"/>
    <col min="8" max="8" width="2.6640625" customWidth="1"/>
    <col min="9" max="9" width="4.6640625" customWidth="1"/>
    <col min="10" max="16384" width="9.1640625" hidden="1"/>
  </cols>
  <sheetData>
    <row r="1" spans="2:8" ht="16.5" thickBot="1">
      <c r="B1" s="365" t="e">
        <f ca="1">RIGHT(CELL("filename",B1),LEN(CELL("filename",B1))-FIND("]",CELL("filename",B1)))</f>
        <v>#VALUE!</v>
      </c>
      <c r="E1" s="280"/>
      <c r="F1" s="280" t="s">
        <v>42</v>
      </c>
      <c r="G1" s="280"/>
      <c r="H1" s="280"/>
    </row>
    <row r="2" spans="2:8" ht="4.1500000000000004" customHeight="1" thickTop="1">
      <c r="B2" s="306"/>
      <c r="C2" s="306"/>
      <c r="D2" s="307"/>
      <c r="E2" s="306"/>
      <c r="F2" s="306"/>
      <c r="G2" s="308"/>
      <c r="H2" s="268"/>
    </row>
    <row r="3" spans="2:8">
      <c r="B3" s="255"/>
      <c r="C3" s="255"/>
      <c r="D3" s="255"/>
      <c r="E3" s="255"/>
      <c r="F3" s="255"/>
      <c r="G3" s="255"/>
    </row>
    <row r="4" spans="2:8" ht="12.75">
      <c r="B4" s="264"/>
      <c r="C4" s="256" t="s">
        <v>62</v>
      </c>
      <c r="D4" s="264"/>
      <c r="E4" s="264"/>
      <c r="F4" s="264"/>
      <c r="G4" s="264"/>
    </row>
    <row r="5" spans="2:8" ht="12.75">
      <c r="B5" s="264"/>
      <c r="C5" s="264"/>
      <c r="D5" s="281" t="s">
        <v>63</v>
      </c>
      <c r="E5" s="264"/>
      <c r="F5" s="264"/>
      <c r="G5" s="264"/>
    </row>
    <row r="6" spans="2:8" ht="12.75">
      <c r="B6" s="264"/>
      <c r="C6" s="264"/>
      <c r="D6" s="281" t="s">
        <v>64</v>
      </c>
      <c r="E6" s="264"/>
      <c r="F6" s="264"/>
      <c r="G6" s="264"/>
    </row>
    <row r="7" spans="2:8" ht="12.75">
      <c r="B7" s="264"/>
      <c r="C7" s="264"/>
      <c r="D7" s="281" t="s">
        <v>65</v>
      </c>
      <c r="E7" s="264"/>
      <c r="F7" s="264"/>
      <c r="G7" s="264"/>
    </row>
    <row r="8" spans="2:8" ht="13.9" customHeight="1">
      <c r="B8" s="264"/>
      <c r="C8" s="264"/>
      <c r="D8" s="290" t="s">
        <v>66</v>
      </c>
      <c r="E8" s="264"/>
      <c r="F8" s="264"/>
      <c r="G8" s="264"/>
    </row>
    <row r="9" spans="2:8" ht="13.9" customHeight="1">
      <c r="B9" s="264"/>
      <c r="C9" s="265"/>
      <c r="D9" s="290" t="s">
        <v>67</v>
      </c>
      <c r="E9" s="264"/>
      <c r="F9" s="264"/>
      <c r="G9" s="264"/>
    </row>
    <row r="10" spans="2:8" ht="13.9" customHeight="1">
      <c r="B10" s="264"/>
      <c r="C10" s="265"/>
      <c r="D10" s="290" t="s">
        <v>68</v>
      </c>
      <c r="E10" s="264"/>
      <c r="F10" s="264"/>
      <c r="G10" s="264"/>
    </row>
    <row r="11" spans="2:8" ht="12.75">
      <c r="B11" s="264"/>
      <c r="C11" s="265"/>
      <c r="D11" s="293"/>
      <c r="E11" s="264"/>
      <c r="F11" s="264"/>
      <c r="G11" s="264"/>
    </row>
    <row r="12" spans="2:8" ht="12.75">
      <c r="B12" s="264"/>
      <c r="C12" s="256" t="s">
        <v>69</v>
      </c>
      <c r="D12" s="294"/>
      <c r="E12" s="264"/>
      <c r="F12" s="264"/>
      <c r="G12" s="264"/>
    </row>
    <row r="13" spans="2:8" ht="12.75">
      <c r="B13" s="264"/>
      <c r="C13" s="264"/>
      <c r="D13" s="281" t="s">
        <v>70</v>
      </c>
      <c r="E13" s="264"/>
      <c r="F13" s="264"/>
      <c r="G13" s="264"/>
    </row>
    <row r="14" spans="2:8" ht="12.75">
      <c r="B14" s="264"/>
      <c r="C14" s="264"/>
      <c r="D14" s="281" t="s">
        <v>71</v>
      </c>
      <c r="E14" s="264"/>
      <c r="F14" s="264"/>
      <c r="G14" s="264"/>
    </row>
    <row r="15" spans="2:8" ht="12.75">
      <c r="B15" s="264"/>
      <c r="C15" s="264"/>
      <c r="D15" s="257"/>
      <c r="E15" s="264"/>
      <c r="F15" s="264"/>
      <c r="G15" s="264"/>
    </row>
    <row r="16" spans="2:8" ht="12.75">
      <c r="B16" s="264"/>
      <c r="C16" s="256" t="s">
        <v>32</v>
      </c>
      <c r="D16" s="264"/>
      <c r="E16" s="264"/>
      <c r="F16" s="264"/>
      <c r="G16" s="264"/>
    </row>
    <row r="17" spans="2:10" ht="12.75">
      <c r="B17" s="264"/>
      <c r="C17" s="264"/>
      <c r="D17" s="281" t="s">
        <v>72</v>
      </c>
      <c r="E17" s="264"/>
      <c r="F17" s="264"/>
      <c r="G17" s="264"/>
    </row>
    <row r="18" spans="2:10" ht="12.75">
      <c r="B18" s="264"/>
      <c r="C18" s="264"/>
      <c r="D18" s="290" t="s">
        <v>73</v>
      </c>
      <c r="E18" s="264"/>
      <c r="F18" s="264"/>
      <c r="G18" s="264"/>
      <c r="H18" s="1"/>
      <c r="I18" s="1"/>
      <c r="J18" s="253"/>
    </row>
    <row r="19" spans="2:10" ht="12.75">
      <c r="B19" s="264"/>
      <c r="C19" s="264"/>
      <c r="D19" s="290" t="s">
        <v>74</v>
      </c>
      <c r="E19" s="264"/>
      <c r="F19" s="264"/>
      <c r="G19" s="264"/>
      <c r="H19" s="1"/>
      <c r="I19" s="1"/>
      <c r="J19" s="253"/>
    </row>
    <row r="20" spans="2:10" ht="12.75">
      <c r="B20" s="264"/>
      <c r="C20" s="264"/>
      <c r="D20" s="281" t="s">
        <v>75</v>
      </c>
      <c r="E20" s="264"/>
      <c r="F20" s="264"/>
      <c r="G20" s="264"/>
    </row>
    <row r="21" spans="2:10" ht="12.75">
      <c r="B21" s="264"/>
      <c r="C21" s="264"/>
      <c r="D21" s="295" t="s">
        <v>76</v>
      </c>
      <c r="E21" s="296"/>
      <c r="F21" s="297" t="s">
        <v>77</v>
      </c>
      <c r="G21" s="264"/>
    </row>
    <row r="22" spans="2:10" ht="12.75">
      <c r="B22" s="264"/>
      <c r="C22" s="264"/>
      <c r="D22" s="298" t="e">
        <f ca="1">HYPERLINK("["&amp;A_Name_File&amp;"]'"&amp;J22&amp;"'!A1",J22)</f>
        <v>#VALUE!</v>
      </c>
      <c r="E22" s="264"/>
      <c r="F22" s="299" t="s">
        <v>78</v>
      </c>
      <c r="G22" s="264"/>
      <c r="H22" s="1"/>
      <c r="I22" s="1"/>
      <c r="J22" s="253" t="e">
        <f ca="1">SUBSTITUTE(CELL("filename",'Salary Wage Cost Inputs'!$A$1),A_File_Long,"")</f>
        <v>#VALUE!</v>
      </c>
    </row>
    <row r="23" spans="2:10" ht="4.1500000000000004" customHeight="1">
      <c r="B23" s="264"/>
      <c r="C23" s="264"/>
      <c r="D23" s="298"/>
      <c r="E23" s="264"/>
      <c r="F23" s="299"/>
      <c r="G23" s="264"/>
      <c r="H23" s="1"/>
      <c r="I23" s="1"/>
      <c r="J23" s="253"/>
    </row>
    <row r="24" spans="2:10" ht="12.75">
      <c r="B24" s="264"/>
      <c r="C24" s="264"/>
      <c r="D24" s="298" t="e">
        <f ca="1">HYPERLINK("["&amp;A_Name_File&amp;"]'"&amp;J24&amp;"'!A1",J24)</f>
        <v>#VALUE!</v>
      </c>
      <c r="E24" s="264"/>
      <c r="F24" s="299" t="s">
        <v>79</v>
      </c>
      <c r="G24" s="264"/>
      <c r="H24" s="1"/>
      <c r="I24" s="1"/>
      <c r="J24" s="253" t="e">
        <f ca="1">SUBSTITUTE(CELL("filename",'Operating Cost Inputs'!$A$1),A_File_Long,"")</f>
        <v>#VALUE!</v>
      </c>
    </row>
    <row r="25" spans="2:10" ht="4.1500000000000004" customHeight="1">
      <c r="B25" s="264"/>
      <c r="C25" s="264"/>
      <c r="D25" s="298"/>
      <c r="E25" s="264"/>
      <c r="F25" s="299"/>
      <c r="G25" s="264"/>
      <c r="H25" s="1"/>
      <c r="I25" s="1"/>
      <c r="J25" s="253"/>
    </row>
    <row r="26" spans="2:10" ht="12.75">
      <c r="B26" s="264"/>
      <c r="C26" s="264"/>
      <c r="D26" s="300" t="e">
        <f ca="1">HYPERLINK("["&amp;A_Name_File&amp;"]'"&amp;J26&amp;"'!A1",J26)</f>
        <v>#VALUE!</v>
      </c>
      <c r="E26" s="301"/>
      <c r="F26" s="302" t="s">
        <v>80</v>
      </c>
      <c r="G26" s="264"/>
      <c r="H26" s="1"/>
      <c r="I26" s="1"/>
      <c r="J26" s="253" t="e">
        <f ca="1">SUBSTITUTE(CELL("filename",'Other Cost Inputs'!$A$1),A_File_Long,"")</f>
        <v>#VALUE!</v>
      </c>
    </row>
    <row r="27" spans="2:10" ht="4.1500000000000004" customHeight="1">
      <c r="B27" s="264"/>
      <c r="C27" s="264"/>
      <c r="D27" s="303"/>
      <c r="E27" s="264"/>
      <c r="F27" s="264"/>
      <c r="G27" s="264"/>
      <c r="H27" s="1"/>
      <c r="I27" s="1"/>
      <c r="J27" s="253"/>
    </row>
    <row r="28" spans="2:10" ht="12.75">
      <c r="B28" s="264"/>
      <c r="C28" s="264"/>
      <c r="D28" s="303"/>
      <c r="E28" s="264"/>
      <c r="F28" s="264"/>
      <c r="G28" s="264"/>
      <c r="H28" s="1"/>
      <c r="I28" s="1"/>
      <c r="J28" s="253"/>
    </row>
    <row r="29" spans="2:10" ht="12.75">
      <c r="B29" s="264"/>
      <c r="C29" s="264"/>
      <c r="D29" s="303"/>
      <c r="E29" s="264"/>
      <c r="F29" s="264"/>
      <c r="G29" s="264"/>
      <c r="H29" s="1"/>
      <c r="I29" s="1"/>
      <c r="J29" s="253"/>
    </row>
    <row r="30" spans="2:10" ht="12.75">
      <c r="B30" s="264"/>
      <c r="C30" s="264"/>
      <c r="D30" s="281" t="s">
        <v>81</v>
      </c>
      <c r="E30" s="264"/>
      <c r="F30" s="264"/>
      <c r="G30" s="264"/>
      <c r="J30" s="254"/>
    </row>
    <row r="31" spans="2:10" ht="12.75">
      <c r="B31" s="264"/>
      <c r="C31" s="264"/>
      <c r="D31" s="281" t="s">
        <v>82</v>
      </c>
      <c r="E31" s="264"/>
      <c r="F31" s="264"/>
      <c r="G31" s="264"/>
      <c r="J31" s="254"/>
    </row>
    <row r="32" spans="2:10" ht="12.75">
      <c r="B32" s="264"/>
      <c r="C32" s="264"/>
      <c r="D32" s="295" t="s">
        <v>76</v>
      </c>
      <c r="E32" s="296"/>
      <c r="F32" s="297" t="s">
        <v>77</v>
      </c>
      <c r="G32" s="264"/>
    </row>
    <row r="33" spans="2:10" ht="12.75">
      <c r="B33" s="264"/>
      <c r="C33" s="264"/>
      <c r="D33" s="300" t="e">
        <f ca="1">HYPERLINK("["&amp;A_Name_File&amp;"]'"&amp;J33&amp;"'!A1",J33)</f>
        <v>#VALUE!</v>
      </c>
      <c r="E33" s="304"/>
      <c r="F33" s="291" t="s">
        <v>83</v>
      </c>
      <c r="G33" s="305"/>
      <c r="H33" s="269"/>
      <c r="I33" s="269"/>
      <c r="J33" s="253" t="e">
        <f ca="1">SUBSTITUTE(CELL("filename",'Plant and Equipment Inputs'!$A$1),A_File_Long,"")</f>
        <v>#VALUE!</v>
      </c>
    </row>
    <row r="34" spans="2:10" ht="12.75">
      <c r="B34" s="264"/>
      <c r="C34" s="264"/>
      <c r="D34" s="264"/>
      <c r="E34" s="264"/>
      <c r="F34" s="264"/>
      <c r="G34" s="264"/>
    </row>
    <row r="35" spans="2:10" ht="12.75">
      <c r="B35" s="264"/>
      <c r="C35" s="264"/>
      <c r="D35" s="283" t="s">
        <v>84</v>
      </c>
      <c r="E35" s="264"/>
      <c r="F35" s="264"/>
      <c r="G35" s="264"/>
    </row>
    <row r="36" spans="2:10" ht="12.75">
      <c r="B36" s="264"/>
      <c r="C36" s="264"/>
      <c r="D36" s="281" t="s">
        <v>85</v>
      </c>
      <c r="E36" s="264"/>
      <c r="F36" s="264"/>
      <c r="G36" s="264"/>
    </row>
    <row r="37" spans="2:10" ht="12.75">
      <c r="B37" s="264"/>
      <c r="C37" s="264"/>
      <c r="D37" s="281" t="s">
        <v>86</v>
      </c>
      <c r="E37" s="264"/>
      <c r="F37" s="264"/>
      <c r="G37" s="264"/>
    </row>
    <row r="38" spans="2:10" ht="12.75">
      <c r="B38" s="264"/>
      <c r="C38" s="264"/>
      <c r="D38" s="281" t="s">
        <v>87</v>
      </c>
      <c r="E38" s="264"/>
      <c r="F38" s="264"/>
      <c r="G38" s="264"/>
    </row>
    <row r="39" spans="2:10" ht="12.75">
      <c r="B39" s="264"/>
      <c r="C39" s="264"/>
      <c r="D39" s="281" t="s">
        <v>88</v>
      </c>
      <c r="E39" s="264"/>
      <c r="F39" s="264"/>
      <c r="G39" s="264"/>
    </row>
    <row r="40" spans="2:10" ht="12.75">
      <c r="B40" s="264"/>
      <c r="C40" s="264"/>
      <c r="D40" s="290" t="s">
        <v>89</v>
      </c>
      <c r="E40" s="264"/>
      <c r="F40" s="264"/>
      <c r="G40" s="264"/>
    </row>
    <row r="41" spans="2:10" ht="12.75">
      <c r="B41" s="264"/>
      <c r="C41" s="264"/>
      <c r="D41" s="290" t="s">
        <v>90</v>
      </c>
      <c r="E41" s="264"/>
      <c r="F41" s="264"/>
      <c r="G41" s="264"/>
    </row>
    <row r="42" spans="2:10" ht="12.75">
      <c r="B42" s="264"/>
      <c r="C42" s="264"/>
      <c r="D42" s="290" t="s">
        <v>91</v>
      </c>
      <c r="E42" s="264"/>
      <c r="F42" s="264"/>
      <c r="G42" s="264"/>
    </row>
    <row r="43" spans="2:10" ht="12.75">
      <c r="B43" s="264"/>
      <c r="C43" s="264"/>
      <c r="D43" s="338" t="s">
        <v>92</v>
      </c>
      <c r="E43" s="264"/>
      <c r="F43" s="264"/>
      <c r="G43" s="264"/>
    </row>
    <row r="44" spans="2:10" ht="12.75">
      <c r="B44" s="264"/>
      <c r="C44" s="264"/>
      <c r="D44" s="281"/>
      <c r="E44" s="264"/>
      <c r="F44" s="264"/>
      <c r="G44" s="264"/>
    </row>
    <row r="45" spans="2:10" ht="16.149999999999999" customHeight="1">
      <c r="B45" s="264"/>
      <c r="C45" s="264"/>
      <c r="D45" s="281" t="s">
        <v>93</v>
      </c>
      <c r="E45" s="264"/>
      <c r="F45" s="264"/>
      <c r="G45" s="264"/>
    </row>
    <row r="46" spans="2:10" ht="12.75">
      <c r="B46" s="264"/>
      <c r="C46" s="264"/>
      <c r="D46" s="295" t="s">
        <v>76</v>
      </c>
      <c r="E46" s="296"/>
      <c r="F46" s="297" t="s">
        <v>77</v>
      </c>
      <c r="G46" s="264"/>
    </row>
    <row r="47" spans="2:10" ht="25.5">
      <c r="B47" s="264"/>
      <c r="C47" s="264"/>
      <c r="D47" s="309" t="e">
        <f ca="1">HYPERLINK("["&amp;A_Name_File&amp;"]'"&amp;J47&amp;"'!A1",J47)</f>
        <v>#VALUE!</v>
      </c>
      <c r="E47" s="301"/>
      <c r="F47" s="311" t="s">
        <v>94</v>
      </c>
      <c r="G47" s="264"/>
      <c r="H47" s="1"/>
      <c r="I47" s="1"/>
      <c r="J47" s="1" t="e">
        <f ca="1">SUBSTITUTE(CELL("filename",'Land Value'!$A$1),A_File_Long,"")</f>
        <v>#VALUE!</v>
      </c>
    </row>
    <row r="48" spans="2:10" ht="12.75">
      <c r="B48" s="264"/>
      <c r="C48" s="264"/>
      <c r="D48" s="264"/>
      <c r="E48" s="264"/>
      <c r="F48" s="264"/>
      <c r="G48" s="264"/>
    </row>
    <row r="49" spans="2:10" ht="12.75">
      <c r="B49" s="264"/>
      <c r="C49" s="264"/>
      <c r="D49" s="282" t="s">
        <v>95</v>
      </c>
      <c r="E49" s="264"/>
      <c r="F49" s="264"/>
      <c r="G49" s="264"/>
    </row>
    <row r="50" spans="2:10" ht="12.75">
      <c r="B50" s="264"/>
      <c r="C50" s="264"/>
      <c r="D50" s="282" t="s">
        <v>96</v>
      </c>
      <c r="E50" s="264"/>
      <c r="F50" s="264"/>
      <c r="G50" s="264"/>
    </row>
    <row r="51" spans="2:10" ht="12.75">
      <c r="B51" s="264"/>
      <c r="C51" s="264"/>
      <c r="D51" s="295" t="s">
        <v>76</v>
      </c>
      <c r="E51" s="296"/>
      <c r="F51" s="297" t="s">
        <v>77</v>
      </c>
      <c r="G51" s="264"/>
    </row>
    <row r="52" spans="2:10" ht="25.5">
      <c r="B52" s="264"/>
      <c r="C52" s="264"/>
      <c r="D52" s="309" t="e">
        <f ca="1">HYPERLINK("["&amp;A_Name_File&amp;"]'"&amp;J52&amp;"'!A1",J52)</f>
        <v>#VALUE!</v>
      </c>
      <c r="E52" s="301"/>
      <c r="F52" s="292" t="s">
        <v>97</v>
      </c>
      <c r="G52" s="264"/>
      <c r="H52" s="1"/>
      <c r="I52" s="1"/>
      <c r="J52" s="1" t="e">
        <f ca="1">SUBSTITUTE(CELL("filename",'Site Development'!$A$1),A_File_Long,"")</f>
        <v>#VALUE!</v>
      </c>
    </row>
    <row r="53" spans="2:10" ht="12.75">
      <c r="B53" s="264"/>
      <c r="C53" s="264"/>
      <c r="D53" s="264"/>
      <c r="E53" s="264"/>
      <c r="F53" s="264"/>
      <c r="G53" s="264"/>
    </row>
    <row r="54" spans="2:10" ht="12.75">
      <c r="B54" s="264"/>
      <c r="C54" s="256" t="s">
        <v>31</v>
      </c>
      <c r="D54" s="264"/>
      <c r="E54" s="264"/>
      <c r="F54" s="264"/>
      <c r="G54" s="264"/>
    </row>
    <row r="55" spans="2:10" ht="12.75">
      <c r="B55" s="264"/>
      <c r="C55" s="264"/>
      <c r="D55" s="281" t="s">
        <v>98</v>
      </c>
      <c r="E55" s="264"/>
      <c r="F55" s="264"/>
      <c r="G55" s="264"/>
    </row>
    <row r="56" spans="2:10" ht="12.75">
      <c r="B56" s="264"/>
      <c r="C56" s="264"/>
      <c r="D56" s="281" t="s">
        <v>99</v>
      </c>
      <c r="E56" s="264"/>
      <c r="F56" s="264"/>
      <c r="G56" s="264"/>
    </row>
    <row r="57" spans="2:10" ht="12.75">
      <c r="B57" s="264"/>
      <c r="C57" s="264"/>
      <c r="D57" s="281" t="s">
        <v>100</v>
      </c>
      <c r="E57" s="264"/>
      <c r="F57" s="264"/>
      <c r="G57" s="264"/>
    </row>
    <row r="58" spans="2:10" ht="12.75">
      <c r="B58" s="264"/>
      <c r="C58" s="264"/>
      <c r="D58" s="295" t="s">
        <v>76</v>
      </c>
      <c r="E58" s="314"/>
      <c r="F58" s="315" t="s">
        <v>77</v>
      </c>
      <c r="G58" s="264"/>
    </row>
    <row r="59" spans="2:10" ht="25.5">
      <c r="B59" s="264"/>
      <c r="C59" s="264"/>
      <c r="D59" s="312" t="e">
        <f ca="1">HYPERLINK("["&amp;A_Name_File&amp;"]'"&amp;J59&amp;"'!A1",J59)</f>
        <v>#VALUE!</v>
      </c>
      <c r="E59" s="316"/>
      <c r="F59" s="310" t="s">
        <v>101</v>
      </c>
      <c r="G59" s="264"/>
      <c r="H59" s="1"/>
      <c r="I59" s="1"/>
      <c r="J59" s="1" t="e">
        <f ca="1">SUBSTITUTE(CELL("filename",Interment!$A$1),A_File_Long,"")</f>
        <v>#VALUE!</v>
      </c>
    </row>
    <row r="60" spans="2:10" ht="4.1500000000000004" customHeight="1">
      <c r="B60" s="264"/>
      <c r="C60" s="264"/>
      <c r="D60" s="312"/>
      <c r="E60" s="316"/>
      <c r="F60" s="310"/>
      <c r="G60" s="264"/>
      <c r="H60" s="1"/>
      <c r="I60" s="1"/>
      <c r="J60" s="1"/>
    </row>
    <row r="61" spans="2:10" ht="38.25">
      <c r="B61" s="264"/>
      <c r="C61" s="264"/>
      <c r="D61" s="312" t="e">
        <f ca="1">HYPERLINK("["&amp;A_Name_File&amp;"]'"&amp;J61&amp;"'!A1",J61)</f>
        <v>#VALUE!</v>
      </c>
      <c r="E61" s="316"/>
      <c r="F61" s="310" t="s">
        <v>102</v>
      </c>
      <c r="G61" s="264"/>
      <c r="H61" s="1"/>
      <c r="I61" s="1"/>
      <c r="J61" s="1" t="e">
        <f ca="1">SUBSTITUTE(CELL("filename",Right_of_Interment!$A$1),A_File_Long,"")</f>
        <v>#VALUE!</v>
      </c>
    </row>
    <row r="62" spans="2:10" ht="4.1500000000000004" customHeight="1">
      <c r="B62" s="264"/>
      <c r="C62" s="264"/>
      <c r="D62" s="312"/>
      <c r="E62" s="316"/>
      <c r="F62" s="310"/>
      <c r="G62" s="264"/>
      <c r="H62" s="1"/>
      <c r="I62" s="1"/>
      <c r="J62" s="1"/>
    </row>
    <row r="63" spans="2:10" ht="38.25">
      <c r="B63" s="264"/>
      <c r="C63" s="264"/>
      <c r="D63" s="309" t="e">
        <f ca="1">HYPERLINK("["&amp;A_Name_File&amp;"]'"&amp;J63&amp;"'!A1",J63)</f>
        <v>#VALUE!</v>
      </c>
      <c r="E63" s="317"/>
      <c r="F63" s="311" t="s">
        <v>103</v>
      </c>
      <c r="G63" s="264"/>
      <c r="H63" s="1"/>
      <c r="I63" s="1"/>
      <c r="J63" s="1" t="e">
        <f ca="1">SUBSTITUTE(CELL("filename",Crematorium!$A$1),A_File_Long,"")</f>
        <v>#VALUE!</v>
      </c>
    </row>
    <row r="64" spans="2:10" ht="12.75">
      <c r="B64" s="264"/>
      <c r="C64" s="264"/>
      <c r="D64" s="264"/>
      <c r="E64" s="264"/>
      <c r="F64" s="264"/>
      <c r="G64" s="264"/>
    </row>
    <row r="65" spans="2:11" ht="12.75">
      <c r="B65" s="264"/>
      <c r="C65" s="256" t="s">
        <v>104</v>
      </c>
      <c r="D65" s="264"/>
      <c r="E65" s="264"/>
      <c r="F65" s="264"/>
      <c r="G65" s="264"/>
    </row>
    <row r="66" spans="2:11" ht="12.75">
      <c r="B66" s="264"/>
      <c r="C66" s="264"/>
      <c r="D66" s="281" t="s">
        <v>105</v>
      </c>
      <c r="E66" s="264"/>
      <c r="F66" s="264"/>
      <c r="G66" s="264"/>
    </row>
    <row r="67" spans="2:11" ht="12.75">
      <c r="B67" s="264"/>
      <c r="C67" s="264"/>
      <c r="D67" s="281" t="s">
        <v>106</v>
      </c>
      <c r="E67" s="264"/>
      <c r="F67" s="264"/>
      <c r="G67" s="264"/>
    </row>
    <row r="68" spans="2:11" ht="12.75">
      <c r="B68" s="264"/>
      <c r="C68" s="264"/>
      <c r="D68" s="295" t="s">
        <v>76</v>
      </c>
      <c r="E68" s="314"/>
      <c r="F68" s="315" t="s">
        <v>77</v>
      </c>
      <c r="G68" s="264"/>
    </row>
    <row r="69" spans="2:11" ht="38.25">
      <c r="B69" s="264"/>
      <c r="C69" s="264"/>
      <c r="D69" s="312" t="e">
        <f ca="1">HYPERLINK("["&amp;A_Name_File&amp;"]'"&amp;J69&amp;"'!A1",J69)</f>
        <v>#VALUE!</v>
      </c>
      <c r="E69" s="294"/>
      <c r="F69" s="310" t="s">
        <v>107</v>
      </c>
      <c r="G69" s="264"/>
      <c r="H69" s="1"/>
      <c r="I69" s="1"/>
      <c r="J69" s="1" t="e">
        <f ca="1">SUBSTITUTE(CELL("filename",'Basic Cremation'!$A$1),A_File_Long,"")</f>
        <v>#VALUE!</v>
      </c>
    </row>
    <row r="70" spans="2:11" ht="12.75">
      <c r="B70" s="264"/>
      <c r="C70" s="264"/>
      <c r="D70" s="309" t="e">
        <f ca="1">HYPERLINK("["&amp;A_Name_File&amp;"]'"&amp;J70&amp;"'!A1",J70)</f>
        <v>#VALUE!</v>
      </c>
      <c r="E70" s="313"/>
      <c r="F70" s="311" t="s">
        <v>108</v>
      </c>
      <c r="G70" s="264"/>
      <c r="H70" s="1"/>
      <c r="I70" s="1"/>
      <c r="J70" s="1" t="e">
        <f ca="1">SUBSTITUTE(CELL("filename",'Basic Burial and Memorial'!$A$1),A_File_Long,"")</f>
        <v>#VALUE!</v>
      </c>
    </row>
    <row r="71" spans="2:11" ht="12.75">
      <c r="B71" s="264"/>
      <c r="C71" s="264"/>
      <c r="D71" s="264"/>
      <c r="E71" s="264"/>
      <c r="F71" s="264"/>
      <c r="G71" s="264"/>
    </row>
    <row r="72" spans="2:11" ht="12.75">
      <c r="B72" s="264"/>
      <c r="C72" s="256" t="s">
        <v>109</v>
      </c>
      <c r="D72" s="264"/>
      <c r="E72" s="267">
        <v>4.7E-2</v>
      </c>
      <c r="F72" s="264"/>
      <c r="G72" s="264"/>
    </row>
    <row r="73" spans="2:11" ht="12.75">
      <c r="B73" s="264"/>
      <c r="C73" s="264"/>
      <c r="D73" s="281" t="s">
        <v>110</v>
      </c>
      <c r="E73" s="257"/>
      <c r="F73" s="257"/>
      <c r="G73" s="257"/>
    </row>
    <row r="74" spans="2:11" ht="12.75">
      <c r="B74" s="264"/>
      <c r="C74" s="264"/>
      <c r="D74" s="281" t="s">
        <v>111</v>
      </c>
      <c r="E74" s="257"/>
      <c r="F74" s="257"/>
      <c r="G74" s="257"/>
      <c r="H74" s="263"/>
      <c r="I74" s="263"/>
      <c r="J74" s="263"/>
      <c r="K74" s="263"/>
    </row>
    <row r="75" spans="2:11" ht="12.75">
      <c r="B75" s="264"/>
      <c r="C75" s="264"/>
      <c r="D75" s="281" t="s">
        <v>112</v>
      </c>
      <c r="E75" s="264"/>
      <c r="F75" s="264"/>
      <c r="G75" s="264"/>
    </row>
    <row r="76" spans="2:11" ht="12.75">
      <c r="B76" s="264"/>
      <c r="C76" s="264"/>
      <c r="D76" s="264"/>
      <c r="E76" s="264"/>
      <c r="F76" s="264"/>
      <c r="G76" s="264"/>
    </row>
  </sheetData>
  <sheetProtection sheet="1" objects="1" scenarios="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rgb="FF9CBB59"/>
  </sheetPr>
  <dimension ref="B1:L36"/>
  <sheetViews>
    <sheetView showGridLines="0" zoomScale="120" zoomScaleNormal="120" zoomScalePageLayoutView="55" workbookViewId="0">
      <selection activeCell="I19" sqref="I19"/>
    </sheetView>
  </sheetViews>
  <sheetFormatPr defaultRowHeight="11.25"/>
  <cols>
    <col min="1" max="1" width="4.6640625" customWidth="1"/>
    <col min="2" max="2" width="35.6640625" customWidth="1"/>
    <col min="3" max="3" width="45.33203125" customWidth="1"/>
    <col min="4" max="4" width="32.6640625" customWidth="1"/>
    <col min="5" max="6" width="15.33203125" customWidth="1"/>
    <col min="8" max="8" width="4.6640625" customWidth="1"/>
    <col min="9" max="9" width="24.1640625" bestFit="1" customWidth="1"/>
    <col min="10" max="10" width="18.33203125" customWidth="1"/>
    <col min="11" max="11" width="74.5" bestFit="1" customWidth="1"/>
    <col min="12" max="12" width="4.6640625" customWidth="1"/>
  </cols>
  <sheetData>
    <row r="1" spans="2:12" ht="16.5" thickBot="1">
      <c r="B1" s="364" t="e">
        <f ca="1">RIGHT(CELL("filename",B1),LEN(CELL("filename",B1))-FIND("]",CELL("filename",B1)))</f>
        <v>#VALUE!</v>
      </c>
      <c r="C1" s="4"/>
      <c r="D1" s="4"/>
      <c r="E1" s="4"/>
      <c r="F1" s="4"/>
      <c r="G1" s="4"/>
      <c r="H1" s="4"/>
      <c r="I1" s="4"/>
      <c r="J1" s="4"/>
      <c r="K1" s="4"/>
      <c r="L1" s="4"/>
    </row>
    <row r="2" spans="2:12" ht="12" thickTop="1"/>
    <row r="3" spans="2:12" ht="12.75">
      <c r="B3" s="264" t="s">
        <v>113</v>
      </c>
      <c r="C3" s="264"/>
      <c r="D3" s="264"/>
      <c r="E3" s="264"/>
      <c r="F3" s="264"/>
    </row>
    <row r="4" spans="2:12" ht="4.1500000000000004" customHeight="1">
      <c r="B4" s="264"/>
      <c r="C4" s="264"/>
      <c r="D4" s="264"/>
      <c r="E4" s="264"/>
      <c r="F4" s="264"/>
    </row>
    <row r="5" spans="2:12" ht="12.75">
      <c r="B5" s="264" t="s">
        <v>114</v>
      </c>
      <c r="C5" s="264"/>
      <c r="D5" s="264"/>
      <c r="E5" s="264"/>
      <c r="F5" s="264"/>
    </row>
    <row r="6" spans="2:12" ht="12.75">
      <c r="B6" s="266" t="s">
        <v>115</v>
      </c>
      <c r="C6" s="255"/>
      <c r="D6" s="255"/>
      <c r="E6" s="255"/>
      <c r="F6" s="255"/>
      <c r="H6" s="318"/>
    </row>
    <row r="7" spans="2:12" ht="12.75">
      <c r="B7" s="266" t="s">
        <v>116</v>
      </c>
      <c r="C7" s="255"/>
      <c r="D7" s="255"/>
      <c r="E7" s="255"/>
      <c r="F7" s="255"/>
      <c r="H7" s="318"/>
    </row>
    <row r="8" spans="2:12" ht="12.75">
      <c r="B8" s="266" t="s">
        <v>117</v>
      </c>
      <c r="C8" s="255"/>
      <c r="D8" s="255"/>
      <c r="E8" s="255"/>
      <c r="F8" s="255"/>
      <c r="H8" s="318"/>
    </row>
    <row r="9" spans="2:12" ht="12.75">
      <c r="B9" s="60"/>
      <c r="C9" s="60"/>
      <c r="D9" s="60"/>
      <c r="E9" s="60"/>
      <c r="F9" s="60"/>
      <c r="G9" s="60"/>
      <c r="I9" s="184" t="s">
        <v>118</v>
      </c>
      <c r="J9" s="60"/>
      <c r="K9" s="60"/>
    </row>
    <row r="10" spans="2:12" ht="33" customHeight="1">
      <c r="B10" s="216" t="s">
        <v>119</v>
      </c>
      <c r="C10" s="216" t="s">
        <v>120</v>
      </c>
      <c r="D10" s="216" t="s">
        <v>121</v>
      </c>
      <c r="E10" s="217" t="s">
        <v>122</v>
      </c>
      <c r="F10" s="217" t="s">
        <v>123</v>
      </c>
      <c r="G10" s="60"/>
      <c r="H10" s="212"/>
      <c r="I10" s="234" t="s">
        <v>124</v>
      </c>
      <c r="J10" s="234" t="s">
        <v>125</v>
      </c>
      <c r="K10" s="215" t="s">
        <v>126</v>
      </c>
      <c r="L10" s="214"/>
    </row>
    <row r="11" spans="2:12" ht="12.75">
      <c r="B11" s="218" t="s">
        <v>127</v>
      </c>
      <c r="C11" s="219"/>
      <c r="D11" s="219"/>
      <c r="E11" s="218"/>
      <c r="F11" s="218"/>
      <c r="G11" s="60"/>
      <c r="H11" s="207"/>
      <c r="I11" s="60"/>
      <c r="J11" s="60"/>
      <c r="K11" s="231"/>
      <c r="L11" s="208"/>
    </row>
    <row r="12" spans="2:12" ht="38.25">
      <c r="B12" s="199" t="s">
        <v>128</v>
      </c>
      <c r="C12" s="199" t="s">
        <v>129</v>
      </c>
      <c r="D12" s="199"/>
      <c r="E12" s="223"/>
      <c r="F12" s="223">
        <f>IF(J12="Include",INDEX(Crematorium!$19:$19,MATCH($I12,Crematorium!$13:$13,0)),0)</f>
        <v>0</v>
      </c>
      <c r="G12" s="195"/>
      <c r="H12" s="207"/>
      <c r="I12" s="235" t="s">
        <v>130</v>
      </c>
      <c r="J12" s="235" t="s">
        <v>131</v>
      </c>
      <c r="K12" s="240"/>
      <c r="L12" s="208"/>
    </row>
    <row r="13" spans="2:12" ht="25.5">
      <c r="B13" s="200" t="s">
        <v>132</v>
      </c>
      <c r="C13" s="199" t="s">
        <v>133</v>
      </c>
      <c r="D13" s="60"/>
      <c r="E13" s="223"/>
      <c r="F13" s="223">
        <f>IF(J13="Include",INDEX(Crematorium!$19:$19,MATCH($I13,Crematorium!$13:$13,0)),0)</f>
        <v>0</v>
      </c>
      <c r="G13" s="195"/>
      <c r="H13" s="207"/>
      <c r="I13" s="235" t="s">
        <v>134</v>
      </c>
      <c r="J13" s="235" t="s">
        <v>131</v>
      </c>
      <c r="K13" s="241" t="s">
        <v>135</v>
      </c>
      <c r="L13" s="208"/>
    </row>
    <row r="14" spans="2:12" ht="12.75">
      <c r="B14" s="220" t="s">
        <v>29</v>
      </c>
      <c r="C14" s="220"/>
      <c r="D14" s="220"/>
      <c r="E14" s="220"/>
      <c r="F14" s="220"/>
      <c r="G14" s="195"/>
      <c r="H14" s="207"/>
      <c r="I14" s="230"/>
      <c r="J14" s="230"/>
      <c r="K14" s="240"/>
      <c r="L14" s="208"/>
    </row>
    <row r="15" spans="2:12" ht="38.25">
      <c r="B15" s="199" t="s">
        <v>136</v>
      </c>
      <c r="C15" s="199" t="s">
        <v>137</v>
      </c>
      <c r="D15" s="199"/>
      <c r="E15" s="223"/>
      <c r="F15" s="223">
        <f>IF(J15="Include",INDEX(Crematorium!$19:$19,MATCH($I15,Crematorium!$13:$13,0)),0)</f>
        <v>0</v>
      </c>
      <c r="G15" s="195"/>
      <c r="H15" s="207"/>
      <c r="I15" s="235" t="s">
        <v>138</v>
      </c>
      <c r="J15" s="235" t="s">
        <v>131</v>
      </c>
      <c r="K15" s="240"/>
      <c r="L15" s="208"/>
    </row>
    <row r="16" spans="2:12" ht="12.75">
      <c r="B16" s="221" t="s">
        <v>130</v>
      </c>
      <c r="C16" s="221"/>
      <c r="D16" s="221"/>
      <c r="E16" s="221"/>
      <c r="F16" s="221"/>
      <c r="G16" s="195"/>
      <c r="H16" s="207"/>
      <c r="I16" s="230"/>
      <c r="J16" s="230"/>
      <c r="K16" s="240"/>
      <c r="L16" s="208"/>
    </row>
    <row r="17" spans="2:12" ht="25.5">
      <c r="B17" s="200" t="s">
        <v>139</v>
      </c>
      <c r="C17" s="200" t="s">
        <v>140</v>
      </c>
      <c r="D17" s="60"/>
      <c r="E17" s="223"/>
      <c r="F17" s="223"/>
      <c r="G17" s="195"/>
      <c r="H17" s="207"/>
      <c r="I17" s="230"/>
      <c r="J17" s="230"/>
      <c r="K17" s="241" t="s">
        <v>141</v>
      </c>
      <c r="L17" s="208"/>
    </row>
    <row r="18" spans="2:12" ht="51">
      <c r="B18" s="199" t="s">
        <v>130</v>
      </c>
      <c r="C18" s="199" t="s">
        <v>142</v>
      </c>
      <c r="D18" s="199"/>
      <c r="E18" s="223"/>
      <c r="F18" s="223">
        <f>IF(J18="Include",INDEX(Crematorium!$19:$19,MATCH($I18,Crematorium!$13:$13,0)),0)</f>
        <v>0</v>
      </c>
      <c r="G18" s="195"/>
      <c r="H18" s="207"/>
      <c r="I18" s="235" t="s">
        <v>130</v>
      </c>
      <c r="J18" s="235" t="s">
        <v>131</v>
      </c>
      <c r="K18" s="241" t="s">
        <v>143</v>
      </c>
      <c r="L18" s="208"/>
    </row>
    <row r="19" spans="2:12" ht="25.5">
      <c r="B19" s="200" t="s">
        <v>144</v>
      </c>
      <c r="C19" s="199" t="s">
        <v>145</v>
      </c>
      <c r="D19" s="60"/>
      <c r="E19" s="223"/>
      <c r="F19" s="223">
        <f>IF(J19="Include",I19,0)</f>
        <v>0</v>
      </c>
      <c r="G19" s="195"/>
      <c r="H19" s="207"/>
      <c r="I19" s="237"/>
      <c r="J19" s="235" t="s">
        <v>131</v>
      </c>
      <c r="K19" s="241" t="s">
        <v>146</v>
      </c>
      <c r="L19" s="208"/>
    </row>
    <row r="20" spans="2:12" ht="12.75">
      <c r="B20" s="220" t="s">
        <v>147</v>
      </c>
      <c r="C20" s="220"/>
      <c r="D20" s="220"/>
      <c r="E20" s="222"/>
      <c r="F20" s="222"/>
      <c r="G20" s="195"/>
      <c r="H20" s="207"/>
      <c r="I20" s="230"/>
      <c r="J20" s="230"/>
      <c r="K20" s="240"/>
      <c r="L20" s="208"/>
    </row>
    <row r="21" spans="2:12" ht="51">
      <c r="B21" s="200" t="s">
        <v>148</v>
      </c>
      <c r="C21" s="200" t="s">
        <v>149</v>
      </c>
      <c r="D21" s="199"/>
      <c r="E21" s="223"/>
      <c r="F21" s="223">
        <f>IF(J21="Include",INDEX(Crematorium!$19:$19,MATCH($I21,Crematorium!$13:$13,0)),0)</f>
        <v>0</v>
      </c>
      <c r="G21" s="195"/>
      <c r="H21" s="207"/>
      <c r="I21" s="235" t="s">
        <v>150</v>
      </c>
      <c r="J21" s="235" t="s">
        <v>131</v>
      </c>
      <c r="K21" s="240"/>
      <c r="L21" s="208"/>
    </row>
    <row r="22" spans="2:12" ht="12.75">
      <c r="B22" s="220" t="s">
        <v>151</v>
      </c>
      <c r="C22" s="220"/>
      <c r="D22" s="220"/>
      <c r="E22" s="222"/>
      <c r="F22" s="222"/>
      <c r="G22" s="195"/>
      <c r="H22" s="207"/>
      <c r="I22" s="230"/>
      <c r="J22" s="230"/>
      <c r="K22" s="240"/>
      <c r="L22" s="208"/>
    </row>
    <row r="23" spans="2:12" ht="76.5">
      <c r="B23" s="200" t="s">
        <v>152</v>
      </c>
      <c r="C23" s="200" t="s">
        <v>153</v>
      </c>
      <c r="D23" s="199"/>
      <c r="E23" s="223"/>
      <c r="F23" s="223">
        <f>IF(J23="Include",INDEX(Crematorium!$19:$19,MATCH($I23,Crematorium!$13:$13,0)),0)</f>
        <v>0</v>
      </c>
      <c r="G23" s="195"/>
      <c r="H23" s="207"/>
      <c r="I23" s="235" t="s">
        <v>154</v>
      </c>
      <c r="J23" s="235" t="s">
        <v>131</v>
      </c>
      <c r="K23" s="241" t="s">
        <v>155</v>
      </c>
      <c r="L23" s="208"/>
    </row>
    <row r="24" spans="2:12" ht="12.75">
      <c r="B24" s="220" t="s">
        <v>156</v>
      </c>
      <c r="C24" s="220"/>
      <c r="D24" s="220"/>
      <c r="E24" s="222"/>
      <c r="F24" s="222"/>
      <c r="G24" s="195"/>
      <c r="H24" s="207"/>
      <c r="I24" s="242"/>
      <c r="J24" s="242"/>
      <c r="K24" s="240"/>
      <c r="L24" s="208"/>
    </row>
    <row r="25" spans="2:12" ht="66" customHeight="1">
      <c r="B25" s="200" t="s">
        <v>157</v>
      </c>
      <c r="C25" s="200" t="s">
        <v>158</v>
      </c>
      <c r="D25" s="199"/>
      <c r="E25" s="223"/>
      <c r="F25" s="223">
        <f>IF(J25="Include",I25,0)</f>
        <v>0</v>
      </c>
      <c r="G25" s="195"/>
      <c r="H25" s="207"/>
      <c r="I25" s="237"/>
      <c r="J25" s="235" t="s">
        <v>131</v>
      </c>
      <c r="K25" s="240"/>
      <c r="L25" s="208"/>
    </row>
    <row r="26" spans="2:12" ht="21" customHeight="1">
      <c r="B26" s="224" t="s">
        <v>159</v>
      </c>
      <c r="C26" s="225"/>
      <c r="D26" s="225"/>
      <c r="E26" s="225">
        <f>SUBTOTAL(9,E$11:E$25)</f>
        <v>0</v>
      </c>
      <c r="F26" s="225">
        <f>SUBTOTAL(9,F$11:F$25)</f>
        <v>0</v>
      </c>
      <c r="G26" s="195"/>
      <c r="H26" s="209"/>
      <c r="I26" s="210"/>
      <c r="J26" s="210"/>
      <c r="K26" s="210"/>
      <c r="L26" s="211"/>
    </row>
    <row r="27" spans="2:12" ht="12.75">
      <c r="G27" s="195"/>
    </row>
    <row r="28" spans="2:12" ht="12.75">
      <c r="G28" s="195"/>
    </row>
    <row r="29" spans="2:12" ht="12.75">
      <c r="G29" s="195"/>
    </row>
    <row r="30" spans="2:12" ht="12.75">
      <c r="G30" s="195"/>
    </row>
    <row r="31" spans="2:12" ht="12.75">
      <c r="G31" s="195"/>
    </row>
    <row r="36" spans="4:5">
      <c r="D36" s="30"/>
      <c r="E36" s="31"/>
    </row>
  </sheetData>
  <dataValidations count="2">
    <dataValidation type="list" allowBlank="1" showInputMessage="1" showErrorMessage="1" sqref="I18 I12:I13 I21 I23 I15" xr:uid="{00000000-0002-0000-0400-000000000000}">
      <formula1>Lst_Crematorium</formula1>
    </dataValidation>
    <dataValidation type="list" allowBlank="1" showInputMessage="1" showErrorMessage="1" sqref="J12:J13 J15 J18:J19 J21 J23 J25" xr:uid="{00000000-0002-0000-0400-000001000000}">
      <formula1>"Include,Excluded"</formula1>
    </dataValidation>
  </dataValidations>
  <pageMargins left="0.7" right="0.7" top="0.75" bottom="0.75" header="0.3" footer="0.3"/>
  <pageSetup paperSize="9" scale="78" orientation="portrait" verticalDpi="0"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9CBB59"/>
  </sheetPr>
  <dimension ref="B1:Q39"/>
  <sheetViews>
    <sheetView showGridLines="0" tabSelected="1" topLeftCell="A6" zoomScale="120" zoomScaleNormal="120" zoomScalePageLayoutView="55" workbookViewId="0">
      <selection activeCell="B17" sqref="B17"/>
    </sheetView>
  </sheetViews>
  <sheetFormatPr defaultRowHeight="11.25"/>
  <cols>
    <col min="1" max="1" width="4.6640625" customWidth="1"/>
    <col min="2" max="2" width="35.6640625" customWidth="1"/>
    <col min="3" max="3" width="45.33203125" customWidth="1"/>
    <col min="4" max="4" width="32.6640625" customWidth="1"/>
    <col min="5" max="6" width="15.33203125" customWidth="1"/>
    <col min="8" max="8" width="2.6640625" customWidth="1"/>
    <col min="9" max="9" width="24.1640625" bestFit="1" customWidth="1"/>
    <col min="10" max="10" width="2.6640625" customWidth="1"/>
    <col min="11" max="11" width="58.6640625" customWidth="1"/>
    <col min="12" max="12" width="11.83203125" customWidth="1"/>
    <col min="13" max="13" width="4.6640625" customWidth="1"/>
    <col min="14" max="14" width="11.83203125" customWidth="1"/>
    <col min="15" max="15" width="14.5" bestFit="1" customWidth="1"/>
    <col min="16" max="16" width="11.83203125" customWidth="1"/>
    <col min="17" max="17" width="2.6640625" customWidth="1"/>
  </cols>
  <sheetData>
    <row r="1" spans="2:17" ht="16.5" thickBot="1">
      <c r="B1" s="364" t="e">
        <f ca="1">RIGHT(CELL("filename",B1),LEN(CELL("filename",B1))-FIND("]",CELL("filename",B1)))</f>
        <v>#VALUE!</v>
      </c>
      <c r="C1" s="4"/>
      <c r="D1" s="4"/>
      <c r="E1" s="4"/>
      <c r="F1" s="4"/>
      <c r="G1" s="4"/>
      <c r="H1" s="4"/>
      <c r="I1" s="4"/>
      <c r="J1" s="4"/>
      <c r="K1" s="4"/>
      <c r="L1" s="4"/>
      <c r="M1" s="4"/>
      <c r="N1" s="4"/>
      <c r="O1" s="4"/>
      <c r="P1" s="4"/>
      <c r="Q1" s="4"/>
    </row>
    <row r="2" spans="2:17" ht="12" thickTop="1"/>
    <row r="3" spans="2:17" ht="12.75">
      <c r="B3" s="264" t="s">
        <v>160</v>
      </c>
      <c r="C3" s="264"/>
      <c r="D3" s="264"/>
      <c r="E3" s="264"/>
      <c r="F3" s="264"/>
    </row>
    <row r="4" spans="2:17" ht="4.1500000000000004" customHeight="1">
      <c r="B4" s="264"/>
      <c r="C4" s="264"/>
      <c r="D4" s="264"/>
      <c r="E4" s="264"/>
      <c r="F4" s="264"/>
    </row>
    <row r="5" spans="2:17" ht="12.75">
      <c r="B5" s="264" t="s">
        <v>114</v>
      </c>
      <c r="C5" s="264"/>
      <c r="D5" s="264"/>
      <c r="E5" s="264"/>
      <c r="F5" s="264"/>
    </row>
    <row r="6" spans="2:17" ht="12.75">
      <c r="B6" s="266" t="s">
        <v>161</v>
      </c>
      <c r="C6" s="255"/>
      <c r="D6" s="255"/>
      <c r="E6" s="255"/>
      <c r="F6" s="255"/>
      <c r="H6" s="318"/>
    </row>
    <row r="7" spans="2:17" ht="12.75">
      <c r="I7" s="184" t="s">
        <v>118</v>
      </c>
    </row>
    <row r="8" spans="2:17" ht="25.5">
      <c r="B8" s="205" t="s">
        <v>162</v>
      </c>
      <c r="C8" s="205" t="s">
        <v>163</v>
      </c>
      <c r="D8" s="205" t="s">
        <v>121</v>
      </c>
      <c r="E8" s="206" t="s">
        <v>122</v>
      </c>
      <c r="F8" s="206" t="s">
        <v>123</v>
      </c>
      <c r="H8" s="212"/>
      <c r="I8" s="234" t="s">
        <v>164</v>
      </c>
      <c r="J8" s="213"/>
      <c r="K8" s="215" t="s">
        <v>126</v>
      </c>
      <c r="L8" s="215"/>
      <c r="M8" s="215"/>
      <c r="N8" s="215"/>
      <c r="O8" s="215"/>
      <c r="P8" s="215"/>
      <c r="Q8" s="214"/>
    </row>
    <row r="9" spans="2:17" ht="12.75">
      <c r="B9" s="198" t="s">
        <v>165</v>
      </c>
      <c r="C9" s="197"/>
      <c r="D9" s="197"/>
      <c r="E9" s="198"/>
      <c r="F9" s="198"/>
      <c r="H9" s="207"/>
      <c r="L9" s="196"/>
      <c r="M9" s="196"/>
      <c r="N9" s="196"/>
      <c r="O9" s="196"/>
      <c r="P9" s="196"/>
      <c r="Q9" s="208"/>
    </row>
    <row r="10" spans="2:17" ht="76.5">
      <c r="B10" s="199" t="s">
        <v>166</v>
      </c>
      <c r="C10" s="199" t="s">
        <v>167</v>
      </c>
      <c r="D10" s="199"/>
      <c r="E10" s="223"/>
      <c r="F10" s="223"/>
      <c r="G10" s="195"/>
      <c r="H10" s="207"/>
      <c r="I10" s="235" t="s">
        <v>168</v>
      </c>
      <c r="J10" s="232"/>
      <c r="K10" s="238" t="s">
        <v>169</v>
      </c>
      <c r="L10" s="327" t="s">
        <v>170</v>
      </c>
      <c r="M10" s="319"/>
      <c r="N10" s="319"/>
      <c r="O10" s="196"/>
      <c r="P10" s="196"/>
      <c r="Q10" s="208"/>
    </row>
    <row r="11" spans="2:17" ht="25.5">
      <c r="B11" s="200" t="s">
        <v>171</v>
      </c>
      <c r="C11" s="200" t="s">
        <v>172</v>
      </c>
      <c r="D11" s="199"/>
      <c r="E11" s="223"/>
      <c r="F11" s="223"/>
      <c r="G11" s="195"/>
      <c r="H11" s="207"/>
      <c r="I11" s="235" t="s">
        <v>173</v>
      </c>
      <c r="J11" s="232"/>
      <c r="K11" s="238" t="s">
        <v>174</v>
      </c>
      <c r="L11" s="327" t="s">
        <v>170</v>
      </c>
      <c r="M11" s="319"/>
      <c r="N11" s="319"/>
      <c r="O11" s="196"/>
      <c r="P11" s="196"/>
      <c r="Q11" s="208"/>
    </row>
    <row r="12" spans="2:17" ht="76.5">
      <c r="B12" s="200" t="s">
        <v>175</v>
      </c>
      <c r="C12" s="200" t="s">
        <v>176</v>
      </c>
      <c r="D12" s="199"/>
      <c r="E12" s="223"/>
      <c r="F12" s="223"/>
      <c r="G12" s="195"/>
      <c r="H12" s="207"/>
      <c r="I12" s="235" t="s">
        <v>177</v>
      </c>
      <c r="J12" s="232"/>
      <c r="K12" s="238" t="s">
        <v>178</v>
      </c>
      <c r="L12" s="327" t="s">
        <v>170</v>
      </c>
      <c r="N12" s="320" t="s">
        <v>179</v>
      </c>
      <c r="O12" s="321" t="s">
        <v>180</v>
      </c>
      <c r="P12" s="322" t="s">
        <v>181</v>
      </c>
      <c r="Q12" s="208"/>
    </row>
    <row r="13" spans="2:17" ht="51">
      <c r="B13" s="204" t="s">
        <v>180</v>
      </c>
      <c r="C13" s="199" t="s">
        <v>182</v>
      </c>
      <c r="D13" s="199"/>
      <c r="E13" s="223"/>
      <c r="F13" s="223"/>
      <c r="G13" s="195"/>
      <c r="H13" s="207"/>
      <c r="I13" s="236">
        <v>50</v>
      </c>
      <c r="J13" s="232"/>
      <c r="K13" s="238" t="s">
        <v>183</v>
      </c>
      <c r="N13" s="323">
        <f>$P$13*(((1+Investment_Rate)^($I$13-1)-1)/(Investment_Rate*(1+Investment_Rate)^($I$13-1)))+$P$13-F10</f>
        <v>0</v>
      </c>
      <c r="O13" s="324">
        <f>$P$13/Investment_Rate+$P$13-F10</f>
        <v>0</v>
      </c>
      <c r="P13" s="325">
        <f>INDEX(Right_of_Interment!$21:$21,1,MATCH($I$10,Right_of_Interment!$15:$15,0))</f>
        <v>0</v>
      </c>
      <c r="Q13" s="208"/>
    </row>
    <row r="14" spans="2:17" ht="12.75">
      <c r="B14" s="201" t="s">
        <v>130</v>
      </c>
      <c r="C14" s="201"/>
      <c r="D14" s="201"/>
      <c r="E14" s="201"/>
      <c r="F14" s="201"/>
      <c r="G14" s="195"/>
      <c r="H14" s="207"/>
      <c r="I14" s="243"/>
      <c r="J14" s="232"/>
      <c r="K14" s="232"/>
      <c r="L14" s="195"/>
      <c r="M14" s="195"/>
      <c r="N14" s="195"/>
      <c r="O14" s="195"/>
      <c r="P14" s="195"/>
      <c r="Q14" s="208"/>
    </row>
    <row r="15" spans="2:17" ht="25.5">
      <c r="B15" s="200" t="s">
        <v>130</v>
      </c>
      <c r="C15" s="200" t="s">
        <v>184</v>
      </c>
      <c r="D15" s="199"/>
      <c r="E15" s="223"/>
      <c r="F15" s="223"/>
      <c r="G15" s="195"/>
      <c r="H15" s="207"/>
      <c r="I15" s="243"/>
      <c r="J15" s="232"/>
      <c r="K15" s="232"/>
      <c r="L15" s="195"/>
      <c r="M15" s="195"/>
      <c r="N15" s="195"/>
      <c r="O15" s="195"/>
      <c r="P15" s="195"/>
      <c r="Q15" s="208"/>
    </row>
    <row r="16" spans="2:17" ht="38.25">
      <c r="B16" s="200" t="s">
        <v>185</v>
      </c>
      <c r="C16" s="199" t="s">
        <v>186</v>
      </c>
      <c r="D16" s="199"/>
      <c r="E16" s="223"/>
      <c r="F16" s="223"/>
      <c r="G16" s="195"/>
      <c r="H16" s="207"/>
      <c r="I16" s="243"/>
      <c r="J16" s="232"/>
      <c r="K16" s="233" t="s">
        <v>187</v>
      </c>
      <c r="L16" s="195"/>
      <c r="M16" s="195"/>
      <c r="N16" s="195"/>
      <c r="O16" s="195"/>
      <c r="P16" s="195"/>
      <c r="Q16" s="208"/>
    </row>
    <row r="17" spans="2:17" ht="12.75">
      <c r="B17" s="202" t="s">
        <v>188</v>
      </c>
      <c r="C17" s="202"/>
      <c r="D17" s="202"/>
      <c r="E17" s="202"/>
      <c r="F17" s="202"/>
      <c r="G17" s="195"/>
      <c r="H17" s="207"/>
      <c r="I17" s="27"/>
      <c r="J17" s="239"/>
      <c r="K17" s="239"/>
      <c r="L17" s="195"/>
      <c r="M17" s="195"/>
      <c r="N17" s="195"/>
      <c r="O17" s="195"/>
      <c r="P17" s="195"/>
      <c r="Q17" s="208"/>
    </row>
    <row r="18" spans="2:17" ht="107.25" customHeight="1">
      <c r="B18" s="200" t="s">
        <v>189</v>
      </c>
      <c r="C18" s="200" t="s">
        <v>190</v>
      </c>
      <c r="D18" s="199"/>
      <c r="E18" s="223"/>
      <c r="F18" s="223"/>
      <c r="G18" s="195"/>
      <c r="H18" s="207"/>
      <c r="I18" s="235" t="s">
        <v>173</v>
      </c>
      <c r="J18" s="232"/>
      <c r="K18" s="238" t="s">
        <v>191</v>
      </c>
      <c r="L18" s="327" t="s">
        <v>170</v>
      </c>
      <c r="M18" s="195"/>
      <c r="N18" s="195"/>
      <c r="O18" s="195"/>
      <c r="P18" s="195"/>
      <c r="Q18" s="208"/>
    </row>
    <row r="19" spans="2:17" ht="63.75">
      <c r="B19" s="200" t="s">
        <v>192</v>
      </c>
      <c r="C19" s="199" t="s">
        <v>193</v>
      </c>
      <c r="D19" s="199"/>
      <c r="E19" s="223"/>
      <c r="F19" s="223"/>
      <c r="G19" s="195"/>
      <c r="H19" s="207"/>
      <c r="I19" s="243"/>
      <c r="J19" s="232"/>
      <c r="K19" s="232"/>
      <c r="L19" s="195"/>
      <c r="M19" s="195"/>
      <c r="N19" s="195"/>
      <c r="O19" s="232"/>
      <c r="P19" s="195"/>
      <c r="Q19" s="208"/>
    </row>
    <row r="20" spans="2:17" ht="12.75">
      <c r="B20" s="201" t="s">
        <v>194</v>
      </c>
      <c r="C20" s="201"/>
      <c r="D20" s="201"/>
      <c r="E20" s="203"/>
      <c r="F20" s="203"/>
      <c r="G20" s="195"/>
      <c r="H20" s="207"/>
      <c r="I20" s="243"/>
      <c r="J20" s="232"/>
      <c r="K20" s="232"/>
      <c r="L20" s="195"/>
      <c r="M20" s="195"/>
      <c r="N20" s="195"/>
      <c r="O20" s="195"/>
      <c r="P20" s="195"/>
      <c r="Q20" s="208"/>
    </row>
    <row r="21" spans="2:17" ht="38.25">
      <c r="B21" s="200" t="s">
        <v>195</v>
      </c>
      <c r="C21" s="200" t="s">
        <v>196</v>
      </c>
      <c r="D21" s="199"/>
      <c r="E21" s="223"/>
      <c r="F21" s="223">
        <f>I21</f>
        <v>0</v>
      </c>
      <c r="G21" s="195"/>
      <c r="H21" s="207"/>
      <c r="I21" s="237"/>
      <c r="J21" s="232"/>
      <c r="K21" s="238" t="s">
        <v>197</v>
      </c>
      <c r="L21" s="195"/>
      <c r="M21" s="195"/>
      <c r="N21" s="195"/>
      <c r="O21" s="195"/>
      <c r="P21" s="195"/>
      <c r="Q21" s="208"/>
    </row>
    <row r="22" spans="2:17" ht="12.75">
      <c r="B22" s="201" t="s">
        <v>147</v>
      </c>
      <c r="C22" s="201"/>
      <c r="D22" s="201"/>
      <c r="E22" s="203"/>
      <c r="F22" s="203"/>
      <c r="G22" s="195"/>
      <c r="H22" s="207"/>
      <c r="I22" s="243"/>
      <c r="J22" s="232"/>
      <c r="K22" s="232"/>
      <c r="L22" s="195"/>
      <c r="M22" s="195"/>
      <c r="N22" s="195"/>
      <c r="O22" s="195"/>
      <c r="P22" s="195"/>
      <c r="Q22" s="208"/>
    </row>
    <row r="23" spans="2:17" ht="76.5">
      <c r="B23" s="200" t="s">
        <v>148</v>
      </c>
      <c r="C23" s="200" t="s">
        <v>198</v>
      </c>
      <c r="D23" s="199"/>
      <c r="E23" s="223"/>
      <c r="F23" s="223">
        <f>I23</f>
        <v>0</v>
      </c>
      <c r="G23" s="195"/>
      <c r="H23" s="207"/>
      <c r="I23" s="237"/>
      <c r="J23" s="232"/>
      <c r="K23" s="238" t="s">
        <v>199</v>
      </c>
      <c r="L23" s="195"/>
      <c r="M23" s="195"/>
      <c r="N23" s="195"/>
      <c r="O23" s="195"/>
      <c r="P23" s="195"/>
      <c r="Q23" s="208"/>
    </row>
    <row r="24" spans="2:17" ht="12.75">
      <c r="B24" s="201" t="s">
        <v>200</v>
      </c>
      <c r="C24" s="201"/>
      <c r="D24" s="201"/>
      <c r="E24" s="203"/>
      <c r="F24" s="203"/>
      <c r="G24" s="195"/>
      <c r="H24" s="207"/>
      <c r="I24" s="243"/>
      <c r="J24" s="232"/>
      <c r="K24" s="232"/>
      <c r="L24" s="195"/>
      <c r="M24" s="195"/>
      <c r="N24" s="195"/>
      <c r="O24" s="195"/>
      <c r="P24" s="195"/>
      <c r="Q24" s="208"/>
    </row>
    <row r="25" spans="2:17" ht="76.5">
      <c r="B25" s="200" t="s">
        <v>157</v>
      </c>
      <c r="C25" s="200" t="s">
        <v>158</v>
      </c>
      <c r="D25" s="199"/>
      <c r="E25" s="223"/>
      <c r="F25" s="223">
        <f>I25</f>
        <v>0</v>
      </c>
      <c r="G25" s="195"/>
      <c r="H25" s="207"/>
      <c r="I25" s="237"/>
      <c r="J25" s="232"/>
      <c r="K25" s="238" t="s">
        <v>201</v>
      </c>
      <c r="L25" s="195"/>
      <c r="M25" s="195"/>
      <c r="N25" s="195"/>
      <c r="O25" s="195"/>
      <c r="P25" s="195"/>
      <c r="Q25" s="208"/>
    </row>
    <row r="26" spans="2:17" ht="25.5">
      <c r="B26" s="200" t="s">
        <v>202</v>
      </c>
      <c r="C26" s="199"/>
      <c r="D26" s="199"/>
      <c r="E26" s="223"/>
      <c r="F26" s="223">
        <f>I26</f>
        <v>0</v>
      </c>
      <c r="G26" s="195"/>
      <c r="H26" s="207"/>
      <c r="I26" s="237"/>
      <c r="J26" s="232"/>
      <c r="K26" s="238" t="s">
        <v>203</v>
      </c>
      <c r="L26" s="195"/>
      <c r="M26" s="195"/>
      <c r="N26" s="195"/>
      <c r="O26" s="195"/>
      <c r="P26" s="195"/>
      <c r="Q26" s="208"/>
    </row>
    <row r="27" spans="2:17" ht="12.75">
      <c r="B27" s="201" t="s">
        <v>204</v>
      </c>
      <c r="C27" s="201"/>
      <c r="D27" s="201"/>
      <c r="E27" s="203"/>
      <c r="F27" s="203"/>
      <c r="G27" s="195"/>
      <c r="H27" s="207"/>
      <c r="I27" s="243"/>
      <c r="J27" s="232"/>
      <c r="K27" s="232"/>
      <c r="L27" s="195"/>
      <c r="M27" s="195"/>
      <c r="N27" s="195"/>
      <c r="O27" s="195"/>
      <c r="P27" s="195"/>
      <c r="Q27" s="208"/>
    </row>
    <row r="28" spans="2:17" ht="25.5">
      <c r="B28" s="200" t="s">
        <v>205</v>
      </c>
      <c r="C28" s="200" t="s">
        <v>206</v>
      </c>
      <c r="D28" s="199"/>
      <c r="E28" s="223"/>
      <c r="F28" s="223">
        <f>I28</f>
        <v>0</v>
      </c>
      <c r="G28" s="195"/>
      <c r="H28" s="207"/>
      <c r="I28" s="237"/>
      <c r="J28" s="232"/>
      <c r="K28" s="238" t="s">
        <v>207</v>
      </c>
      <c r="L28" s="195"/>
      <c r="M28" s="195"/>
      <c r="N28" s="195"/>
      <c r="O28" s="195"/>
      <c r="P28" s="195"/>
      <c r="Q28" s="208"/>
    </row>
    <row r="29" spans="2:17" ht="21" customHeight="1">
      <c r="B29" s="226" t="s">
        <v>159</v>
      </c>
      <c r="C29" s="227"/>
      <c r="D29" s="227"/>
      <c r="E29" s="227">
        <f>SUBTOTAL(9,E$9:E$28)</f>
        <v>0</v>
      </c>
      <c r="F29" s="227">
        <f>SUBTOTAL(9,F$9:F$28)</f>
        <v>0</v>
      </c>
      <c r="G29" s="195"/>
      <c r="H29" s="209"/>
      <c r="I29" s="210"/>
      <c r="J29" s="210"/>
      <c r="K29" s="210"/>
      <c r="L29" s="210"/>
      <c r="M29" s="210"/>
      <c r="N29" s="210"/>
      <c r="O29" s="210"/>
      <c r="P29" s="210"/>
      <c r="Q29" s="211"/>
    </row>
    <row r="30" spans="2:17" ht="12.75">
      <c r="G30" s="195"/>
    </row>
    <row r="31" spans="2:17" ht="12.75">
      <c r="G31" s="195"/>
    </row>
    <row r="32" spans="2:17" ht="12.75">
      <c r="G32" s="195"/>
    </row>
    <row r="33" spans="4:7" ht="12.75">
      <c r="G33" s="195"/>
    </row>
    <row r="34" spans="4:7" ht="12.75">
      <c r="G34" s="195"/>
    </row>
    <row r="39" spans="4:7">
      <c r="D39" s="30"/>
      <c r="E39" s="31"/>
    </row>
  </sheetData>
  <dataValidations count="5">
    <dataValidation type="list" allowBlank="1" showInputMessage="1" showErrorMessage="1" sqref="I10" xr:uid="{00000000-0002-0000-0500-000000000000}">
      <formula1>Lst_RightOfInterment</formula1>
    </dataValidation>
    <dataValidation type="list" allowBlank="1" showInputMessage="1" showErrorMessage="1" sqref="I18" xr:uid="{00000000-0002-0000-0500-000001000000}">
      <formula1>Lst_Interments</formula1>
    </dataValidation>
    <dataValidation type="list" allowBlank="1" showInputMessage="1" showErrorMessage="1" sqref="I11" xr:uid="{00000000-0002-0000-0500-000002000000}">
      <formula1>Lst_LandValue</formula1>
    </dataValidation>
    <dataValidation type="list" allowBlank="1" showInputMessage="1" showErrorMessage="1" sqref="I12" xr:uid="{00000000-0002-0000-0500-000003000000}">
      <formula1>Lst_Developments</formula1>
    </dataValidation>
    <dataValidation type="list" allowBlank="1" showInputMessage="1" showErrorMessage="1" sqref="B13" xr:uid="{00000000-0002-0000-0500-000004000000}">
      <formula1>$N$12:$O$12</formula1>
    </dataValidation>
  </dataValidations>
  <hyperlinks>
    <hyperlink ref="K16" location="CremationServiceFees" display="&lt;&lt;== Select Cremation Service Fees" xr:uid="{00000000-0004-0000-0500-000000000000}"/>
    <hyperlink ref="L10" location="Lst_RightOfInterment" display="Edit menu" xr:uid="{00000000-0004-0000-0500-000001000000}"/>
    <hyperlink ref="L11" location="Lst_LandValue" display="Edit menu" xr:uid="{00000000-0004-0000-0500-000002000000}"/>
    <hyperlink ref="L12" location="Lst_Developments" display="Edit menu" xr:uid="{00000000-0004-0000-0500-000003000000}"/>
    <hyperlink ref="L18" location="Lst_Interments" display="Edit menu" xr:uid="{00000000-0004-0000-0500-000004000000}"/>
  </hyperlinks>
  <pageMargins left="0.7" right="0.7" top="0.75" bottom="0.75" header="0.3" footer="0.3"/>
  <pageSetup paperSize="9" scale="78" orientation="portrait"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C1504D"/>
  </sheetPr>
  <dimension ref="B1:O63"/>
  <sheetViews>
    <sheetView showGridLines="0" zoomScaleNormal="100" workbookViewId="0">
      <selection activeCell="D51" sqref="D51:H51"/>
    </sheetView>
  </sheetViews>
  <sheetFormatPr defaultRowHeight="11.25"/>
  <cols>
    <col min="1" max="2" width="4.6640625" customWidth="1"/>
    <col min="3" max="3" width="42" customWidth="1"/>
    <col min="4" max="9" width="16.5" customWidth="1"/>
    <col min="10" max="10" width="2.6640625" customWidth="1"/>
    <col min="11" max="11" width="14.33203125" bestFit="1" customWidth="1"/>
    <col min="12" max="12" width="2.6640625" customWidth="1"/>
    <col min="13" max="13" width="77.1640625" bestFit="1" customWidth="1"/>
    <col min="14" max="14" width="4.6640625" customWidth="1"/>
  </cols>
  <sheetData>
    <row r="1" spans="2:15" ht="16.5" thickBot="1">
      <c r="B1" s="364" t="e">
        <f ca="1">RIGHT(CELL("filename",B1),LEN(CELL("filename",B1))-FIND("]",CELL("filename",B1)))</f>
        <v>#VALUE!</v>
      </c>
      <c r="C1" s="4"/>
      <c r="D1" s="4"/>
      <c r="E1" s="4"/>
      <c r="F1" s="4"/>
      <c r="G1" s="4"/>
      <c r="H1" s="4"/>
      <c r="I1" s="4"/>
      <c r="J1" s="4"/>
      <c r="K1" s="4"/>
      <c r="L1" s="4"/>
      <c r="M1" s="4"/>
      <c r="N1" s="4"/>
      <c r="O1" s="4"/>
    </row>
    <row r="2" spans="2:15" ht="12" thickTop="1"/>
    <row r="3" spans="2:15" ht="12.75">
      <c r="B3" s="264" t="s">
        <v>208</v>
      </c>
      <c r="C3" s="264"/>
      <c r="D3" s="264"/>
      <c r="E3" s="264"/>
      <c r="F3" s="264"/>
      <c r="G3" s="264"/>
      <c r="H3" s="264"/>
      <c r="I3" s="264"/>
      <c r="J3" s="264"/>
      <c r="K3" s="264"/>
      <c r="L3" s="264"/>
      <c r="M3" s="264"/>
    </row>
    <row r="4" spans="2:15" ht="4.1500000000000004" customHeight="1">
      <c r="B4" s="264"/>
      <c r="C4" s="264"/>
      <c r="D4" s="264"/>
      <c r="E4" s="264"/>
      <c r="F4" s="264"/>
      <c r="G4" s="264"/>
      <c r="H4" s="264"/>
      <c r="I4" s="264"/>
      <c r="J4" s="264"/>
      <c r="K4" s="264"/>
      <c r="L4" s="264"/>
      <c r="M4" s="264"/>
    </row>
    <row r="5" spans="2:15" ht="12.75">
      <c r="B5" s="343" t="s">
        <v>209</v>
      </c>
      <c r="C5" s="264"/>
      <c r="D5" s="264"/>
      <c r="E5" s="264"/>
      <c r="F5" s="264"/>
      <c r="G5" s="264"/>
      <c r="H5" s="264"/>
      <c r="I5" s="264"/>
      <c r="J5" s="264"/>
      <c r="K5" s="264"/>
      <c r="L5" s="264"/>
      <c r="M5" s="264"/>
    </row>
    <row r="6" spans="2:15" ht="12.75">
      <c r="B6" s="266" t="s">
        <v>210</v>
      </c>
      <c r="C6" s="264"/>
      <c r="D6" s="264"/>
      <c r="E6" s="264"/>
      <c r="F6" s="264"/>
      <c r="G6" s="264"/>
      <c r="H6" s="264"/>
      <c r="I6" s="264"/>
      <c r="J6" s="264"/>
      <c r="K6" s="264"/>
      <c r="L6" s="264"/>
      <c r="M6" s="264"/>
    </row>
    <row r="7" spans="2:15" ht="12.75">
      <c r="B7" s="344" t="s">
        <v>211</v>
      </c>
      <c r="C7" s="264"/>
      <c r="D7" s="264"/>
      <c r="E7" s="264"/>
      <c r="F7" s="264"/>
      <c r="G7" s="264"/>
      <c r="H7" s="264"/>
      <c r="I7" s="264"/>
      <c r="J7" s="264"/>
      <c r="K7" s="264"/>
      <c r="L7" s="264"/>
      <c r="M7" s="264"/>
    </row>
    <row r="8" spans="2:15" ht="12.75">
      <c r="B8" s="266" t="s">
        <v>212</v>
      </c>
      <c r="C8" s="264"/>
      <c r="D8" s="264"/>
      <c r="E8" s="264"/>
      <c r="F8" s="264"/>
      <c r="G8" s="264"/>
      <c r="H8" s="264"/>
      <c r="I8" s="264"/>
      <c r="J8" s="264"/>
      <c r="K8" s="264"/>
      <c r="L8" s="264"/>
      <c r="M8" s="264"/>
    </row>
    <row r="9" spans="2:15" ht="12.75">
      <c r="B9" s="266" t="s">
        <v>213</v>
      </c>
      <c r="C9" s="264"/>
      <c r="D9" s="264"/>
      <c r="E9" s="264"/>
      <c r="F9" s="264"/>
      <c r="G9" s="264"/>
      <c r="H9" s="264"/>
      <c r="I9" s="264"/>
      <c r="J9" s="264"/>
      <c r="K9" s="264"/>
      <c r="L9" s="264"/>
      <c r="M9" s="264"/>
    </row>
    <row r="10" spans="2:15" ht="12.75">
      <c r="B10" s="344" t="s">
        <v>214</v>
      </c>
      <c r="C10" s="264"/>
      <c r="D10" s="264"/>
      <c r="E10" s="264"/>
      <c r="F10" s="264"/>
      <c r="G10" s="264"/>
      <c r="H10" s="264"/>
      <c r="I10" s="264"/>
      <c r="J10" s="264"/>
      <c r="K10" s="264"/>
      <c r="L10" s="264"/>
      <c r="M10" s="264"/>
    </row>
    <row r="11" spans="2:15" ht="12.75">
      <c r="B11" s="266" t="s">
        <v>215</v>
      </c>
      <c r="C11" s="264"/>
      <c r="D11" s="264"/>
      <c r="E11" s="264"/>
      <c r="F11" s="264"/>
      <c r="G11" s="264"/>
      <c r="H11" s="264"/>
      <c r="I11" s="264"/>
      <c r="J11" s="264"/>
      <c r="K11" s="264"/>
      <c r="L11" s="264"/>
      <c r="M11" s="264"/>
    </row>
    <row r="12" spans="2:15" ht="12.75">
      <c r="B12" s="266" t="s">
        <v>216</v>
      </c>
      <c r="C12" s="264"/>
      <c r="D12" s="264"/>
      <c r="E12" s="264"/>
      <c r="F12" s="264"/>
      <c r="G12" s="264"/>
      <c r="H12" s="264"/>
      <c r="I12" s="264"/>
      <c r="J12" s="264"/>
      <c r="K12" s="264"/>
      <c r="L12" s="264"/>
      <c r="M12" s="264"/>
    </row>
    <row r="14" spans="2:15" ht="12.75">
      <c r="B14" s="104" t="s">
        <v>217</v>
      </c>
      <c r="C14" s="8"/>
      <c r="D14" s="8"/>
      <c r="E14" s="8"/>
      <c r="F14" s="8"/>
      <c r="G14" s="8"/>
      <c r="H14" s="8"/>
      <c r="I14" s="8"/>
      <c r="J14" s="8"/>
      <c r="K14" s="8"/>
    </row>
    <row r="15" spans="2:15" ht="42" customHeight="1">
      <c r="B15" s="15"/>
      <c r="C15" s="117"/>
      <c r="D15" s="36" t="str">
        <f t="shared" ref="D15:I15" si="0">D47</f>
        <v>Earth Burial</v>
      </c>
      <c r="E15" s="36" t="str">
        <f t="shared" si="0"/>
        <v>Vault</v>
      </c>
      <c r="F15" s="36" t="str">
        <f t="shared" si="0"/>
        <v>Mausoleum Crypt</v>
      </c>
      <c r="G15" s="36" t="str">
        <f t="shared" si="0"/>
        <v>Ash
Placement</v>
      </c>
      <c r="H15" s="36" t="str">
        <f t="shared" si="0"/>
        <v>Columbarium Wall</v>
      </c>
      <c r="I15" s="36" t="str">
        <f t="shared" si="0"/>
        <v>Contractor Burial</v>
      </c>
      <c r="J15" s="117"/>
      <c r="K15" s="117"/>
      <c r="L15" s="117"/>
      <c r="M15" s="117"/>
      <c r="N15" s="17"/>
    </row>
    <row r="16" spans="2:15" ht="4.9000000000000004" customHeight="1">
      <c r="B16" s="18"/>
      <c r="C16" s="100"/>
      <c r="D16" s="107"/>
      <c r="E16" s="107"/>
      <c r="F16" s="107"/>
      <c r="G16" s="107"/>
      <c r="H16" s="107"/>
      <c r="I16" s="107"/>
      <c r="J16" s="120"/>
      <c r="K16" s="120"/>
      <c r="L16" s="59"/>
      <c r="M16" s="59"/>
      <c r="N16" s="19"/>
    </row>
    <row r="17" spans="2:14" ht="12.75">
      <c r="B17" s="18"/>
      <c r="C17" s="100" t="s">
        <v>189</v>
      </c>
      <c r="D17" s="140">
        <f t="shared" ref="D17:I17" si="1">IF(D49&lt;=0,0,SUM(D27:D39)/D49)</f>
        <v>0</v>
      </c>
      <c r="E17" s="140">
        <f t="shared" si="1"/>
        <v>0</v>
      </c>
      <c r="F17" s="140">
        <f t="shared" si="1"/>
        <v>0</v>
      </c>
      <c r="G17" s="140">
        <f t="shared" si="1"/>
        <v>0</v>
      </c>
      <c r="H17" s="140">
        <f t="shared" si="1"/>
        <v>0</v>
      </c>
      <c r="I17" s="140">
        <f t="shared" si="1"/>
        <v>0</v>
      </c>
      <c r="J17" s="111"/>
      <c r="K17" s="111"/>
      <c r="L17" s="59"/>
      <c r="M17" s="59"/>
      <c r="N17" s="19"/>
    </row>
    <row r="18" spans="2:14" ht="4.9000000000000004" customHeight="1">
      <c r="B18" s="18"/>
      <c r="C18" s="100"/>
      <c r="D18" s="109"/>
      <c r="E18" s="109"/>
      <c r="F18" s="109"/>
      <c r="G18" s="109"/>
      <c r="H18" s="109"/>
      <c r="I18" s="109"/>
      <c r="J18" s="111"/>
      <c r="K18" s="111"/>
      <c r="L18" s="59"/>
      <c r="M18" s="59"/>
      <c r="N18" s="19"/>
    </row>
    <row r="19" spans="2:14" ht="12.75">
      <c r="B19" s="18"/>
      <c r="C19" s="100" t="s">
        <v>192</v>
      </c>
      <c r="D19" s="140">
        <f t="shared" ref="D19:I19" si="2">IF(D49&lt;=0,0,D40/D49)</f>
        <v>0</v>
      </c>
      <c r="E19" s="140">
        <f t="shared" si="2"/>
        <v>0</v>
      </c>
      <c r="F19" s="140">
        <f t="shared" si="2"/>
        <v>0</v>
      </c>
      <c r="G19" s="140">
        <f t="shared" si="2"/>
        <v>0</v>
      </c>
      <c r="H19" s="140">
        <f t="shared" si="2"/>
        <v>0</v>
      </c>
      <c r="I19" s="140">
        <f t="shared" si="2"/>
        <v>0</v>
      </c>
      <c r="J19" s="111"/>
      <c r="K19" s="111"/>
      <c r="L19" s="59"/>
      <c r="M19" s="59"/>
      <c r="N19" s="19"/>
    </row>
    <row r="20" spans="2:14" ht="4.9000000000000004" customHeight="1">
      <c r="B20" s="18"/>
      <c r="C20" s="100"/>
      <c r="D20" s="109"/>
      <c r="E20" s="109"/>
      <c r="F20" s="109"/>
      <c r="G20" s="109"/>
      <c r="H20" s="109"/>
      <c r="I20" s="109"/>
      <c r="J20" s="111"/>
      <c r="K20" s="111"/>
      <c r="L20" s="59"/>
      <c r="M20" s="59"/>
      <c r="N20" s="19"/>
    </row>
    <row r="21" spans="2:14" ht="13.5" thickBot="1">
      <c r="B21" s="18"/>
      <c r="C21" s="101" t="s">
        <v>217</v>
      </c>
      <c r="D21" s="110">
        <f t="shared" ref="D21:I21" si="3">IF(D49&lt;=0,0,D42/D49)</f>
        <v>0</v>
      </c>
      <c r="E21" s="110">
        <f t="shared" si="3"/>
        <v>0</v>
      </c>
      <c r="F21" s="110">
        <f t="shared" si="3"/>
        <v>0</v>
      </c>
      <c r="G21" s="110">
        <f t="shared" si="3"/>
        <v>0</v>
      </c>
      <c r="H21" s="110">
        <f t="shared" si="3"/>
        <v>0</v>
      </c>
      <c r="I21" s="110">
        <f t="shared" si="3"/>
        <v>0</v>
      </c>
      <c r="J21" s="111"/>
      <c r="K21" s="111"/>
      <c r="L21" s="160"/>
      <c r="M21" s="59"/>
      <c r="N21" s="19"/>
    </row>
    <row r="22" spans="2:14" ht="13.5" thickTop="1">
      <c r="B22" s="20"/>
      <c r="C22" s="122"/>
      <c r="D22" s="141"/>
      <c r="E22" s="141"/>
      <c r="F22" s="141"/>
      <c r="G22" s="141"/>
      <c r="H22" s="141"/>
      <c r="I22" s="141"/>
      <c r="J22" s="141"/>
      <c r="K22" s="141"/>
      <c r="L22" s="122"/>
      <c r="M22" s="122"/>
      <c r="N22" s="24"/>
    </row>
    <row r="23" spans="2:14" ht="12.75">
      <c r="C23" s="123"/>
      <c r="D23" s="142"/>
      <c r="E23" s="142"/>
      <c r="F23" s="142"/>
      <c r="G23" s="142"/>
      <c r="H23" s="142"/>
      <c r="I23" s="142"/>
      <c r="J23" s="142"/>
      <c r="K23" s="142"/>
      <c r="L23" s="117"/>
      <c r="M23" s="117"/>
    </row>
    <row r="24" spans="2:14" ht="12.75">
      <c r="B24" s="104" t="s">
        <v>218</v>
      </c>
      <c r="C24" s="121"/>
      <c r="D24" s="141"/>
      <c r="E24" s="141"/>
      <c r="F24" s="141"/>
      <c r="G24" s="141"/>
      <c r="H24" s="141"/>
      <c r="I24" s="141"/>
      <c r="J24" s="141"/>
      <c r="K24" s="141"/>
      <c r="L24" s="122"/>
      <c r="M24" s="122"/>
    </row>
    <row r="25" spans="2:14" ht="10.15" customHeight="1">
      <c r="B25" s="15"/>
      <c r="C25" s="123"/>
      <c r="D25" s="167"/>
      <c r="E25" s="167"/>
      <c r="F25" s="167"/>
      <c r="G25" s="167"/>
      <c r="H25" s="167"/>
      <c r="I25" s="167"/>
      <c r="J25" s="168"/>
      <c r="K25" s="168"/>
      <c r="L25" s="117"/>
      <c r="M25" s="117"/>
      <c r="N25" s="17"/>
    </row>
    <row r="26" spans="2:14" ht="12.75">
      <c r="B26" s="18"/>
      <c r="C26" s="100" t="s">
        <v>219</v>
      </c>
      <c r="D26" s="112"/>
      <c r="E26" s="112"/>
      <c r="F26" s="112"/>
      <c r="G26" s="112"/>
      <c r="H26" s="112"/>
      <c r="I26" s="112"/>
      <c r="J26" s="114"/>
      <c r="K26" s="114" t="s">
        <v>159</v>
      </c>
      <c r="L26" s="59"/>
      <c r="M26" s="58"/>
      <c r="N26" s="19"/>
    </row>
    <row r="27" spans="2:14" ht="4.9000000000000004" customHeight="1">
      <c r="B27" s="18"/>
      <c r="C27" s="100"/>
      <c r="D27" s="112"/>
      <c r="E27" s="112"/>
      <c r="F27" s="112"/>
      <c r="G27" s="112"/>
      <c r="H27" s="112"/>
      <c r="I27" s="112"/>
      <c r="J27" s="114"/>
      <c r="K27" s="114"/>
      <c r="L27" s="59"/>
      <c r="M27" s="58"/>
      <c r="N27" s="19"/>
    </row>
    <row r="28" spans="2:14" ht="12.75">
      <c r="B28" s="18"/>
      <c r="C28" s="100" t="s">
        <v>220</v>
      </c>
      <c r="D28" s="112" t="e">
        <f t="shared" ref="D28:I28" si="4">D$54*$K28</f>
        <v>#DIV/0!</v>
      </c>
      <c r="E28" s="112" t="e">
        <f t="shared" si="4"/>
        <v>#DIV/0!</v>
      </c>
      <c r="F28" s="112" t="e">
        <f t="shared" si="4"/>
        <v>#DIV/0!</v>
      </c>
      <c r="G28" s="112" t="e">
        <f t="shared" si="4"/>
        <v>#DIV/0!</v>
      </c>
      <c r="H28" s="112" t="e">
        <f t="shared" si="4"/>
        <v>#DIV/0!</v>
      </c>
      <c r="I28" s="112" t="e">
        <f t="shared" si="4"/>
        <v>#DIV/0!</v>
      </c>
      <c r="J28" s="114"/>
      <c r="K28" s="144">
        <f>'Operating Costs Summary'!$D$9</f>
        <v>0</v>
      </c>
      <c r="L28" s="160"/>
      <c r="M28" s="13" t="s">
        <v>221</v>
      </c>
      <c r="N28" s="19"/>
    </row>
    <row r="29" spans="2:14" ht="4.9000000000000004" customHeight="1">
      <c r="B29" s="18"/>
      <c r="C29" s="100"/>
      <c r="D29" s="112"/>
      <c r="E29" s="112"/>
      <c r="F29" s="112"/>
      <c r="G29" s="112"/>
      <c r="H29" s="112"/>
      <c r="I29" s="112"/>
      <c r="J29" s="114"/>
      <c r="K29" s="113"/>
      <c r="L29" s="160"/>
      <c r="M29" s="58"/>
      <c r="N29" s="19"/>
    </row>
    <row r="30" spans="2:14" ht="12.75">
      <c r="B30" s="18"/>
      <c r="C30" s="100" t="s">
        <v>222</v>
      </c>
      <c r="D30" s="112" t="e">
        <f t="shared" ref="D30:I30" si="5">D$54*$K30</f>
        <v>#DIV/0!</v>
      </c>
      <c r="E30" s="112" t="e">
        <f t="shared" si="5"/>
        <v>#DIV/0!</v>
      </c>
      <c r="F30" s="112" t="e">
        <f t="shared" si="5"/>
        <v>#DIV/0!</v>
      </c>
      <c r="G30" s="112" t="e">
        <f t="shared" si="5"/>
        <v>#DIV/0!</v>
      </c>
      <c r="H30" s="112" t="e">
        <f t="shared" si="5"/>
        <v>#DIV/0!</v>
      </c>
      <c r="I30" s="112" t="e">
        <f t="shared" si="5"/>
        <v>#DIV/0!</v>
      </c>
      <c r="J30" s="114"/>
      <c r="K30" s="144">
        <f>'Operating Costs Summary'!$D$10</f>
        <v>0</v>
      </c>
      <c r="L30" s="160"/>
      <c r="M30" s="13" t="s">
        <v>223</v>
      </c>
      <c r="N30" s="19"/>
    </row>
    <row r="31" spans="2:14" ht="4.9000000000000004" customHeight="1">
      <c r="B31" s="18"/>
      <c r="C31" s="100"/>
      <c r="D31" s="112"/>
      <c r="E31" s="112"/>
      <c r="F31" s="112"/>
      <c r="G31" s="112"/>
      <c r="H31" s="112"/>
      <c r="I31" s="112"/>
      <c r="J31" s="114"/>
      <c r="K31" s="144"/>
      <c r="L31" s="160"/>
      <c r="M31" s="58"/>
      <c r="N31" s="19"/>
    </row>
    <row r="32" spans="2:14" ht="12.75">
      <c r="B32" s="18"/>
      <c r="C32" s="100" t="s">
        <v>224</v>
      </c>
      <c r="D32" s="112" t="e">
        <f t="shared" ref="D32:I32" si="6">D$57*$K32</f>
        <v>#DIV/0!</v>
      </c>
      <c r="E32" s="112" t="e">
        <f t="shared" si="6"/>
        <v>#DIV/0!</v>
      </c>
      <c r="F32" s="112" t="e">
        <f t="shared" si="6"/>
        <v>#DIV/0!</v>
      </c>
      <c r="G32" s="112" t="e">
        <f t="shared" si="6"/>
        <v>#DIV/0!</v>
      </c>
      <c r="H32" s="112">
        <f t="shared" si="6"/>
        <v>0</v>
      </c>
      <c r="I32" s="112">
        <f t="shared" si="6"/>
        <v>0</v>
      </c>
      <c r="J32" s="114"/>
      <c r="K32" s="144">
        <f>'Operating Costs Summary'!$D$13</f>
        <v>0</v>
      </c>
      <c r="L32" s="160"/>
      <c r="M32" s="13" t="s">
        <v>225</v>
      </c>
      <c r="N32" s="19"/>
    </row>
    <row r="33" spans="2:14" ht="4.9000000000000004" customHeight="1">
      <c r="B33" s="18"/>
      <c r="C33" s="100"/>
      <c r="D33" s="112"/>
      <c r="E33" s="112"/>
      <c r="F33" s="112"/>
      <c r="G33" s="112"/>
      <c r="H33" s="112"/>
      <c r="I33" s="112"/>
      <c r="J33" s="114"/>
      <c r="K33" s="144"/>
      <c r="L33" s="160"/>
      <c r="M33" s="58"/>
      <c r="N33" s="19"/>
    </row>
    <row r="34" spans="2:14" ht="12.75">
      <c r="B34" s="18"/>
      <c r="C34" s="100" t="s">
        <v>226</v>
      </c>
      <c r="D34" s="112" t="e">
        <f t="shared" ref="D34:I34" si="7">D$57*$K34</f>
        <v>#DIV/0!</v>
      </c>
      <c r="E34" s="112" t="e">
        <f t="shared" si="7"/>
        <v>#DIV/0!</v>
      </c>
      <c r="F34" s="112" t="e">
        <f t="shared" si="7"/>
        <v>#DIV/0!</v>
      </c>
      <c r="G34" s="112" t="e">
        <f t="shared" si="7"/>
        <v>#DIV/0!</v>
      </c>
      <c r="H34" s="112">
        <f t="shared" si="7"/>
        <v>0</v>
      </c>
      <c r="I34" s="112">
        <f t="shared" si="7"/>
        <v>0</v>
      </c>
      <c r="J34" s="114"/>
      <c r="K34" s="144">
        <f>'Operating Costs Summary'!$D$14</f>
        <v>0</v>
      </c>
      <c r="L34" s="160"/>
      <c r="M34" s="13" t="s">
        <v>227</v>
      </c>
      <c r="N34" s="19"/>
    </row>
    <row r="35" spans="2:14" ht="4.9000000000000004" customHeight="1">
      <c r="B35" s="18"/>
      <c r="C35" s="100"/>
      <c r="D35" s="112"/>
      <c r="E35" s="112"/>
      <c r="F35" s="112"/>
      <c r="G35" s="112"/>
      <c r="H35" s="112"/>
      <c r="I35" s="112"/>
      <c r="J35" s="114"/>
      <c r="K35" s="144"/>
      <c r="L35" s="160"/>
      <c r="M35" s="58"/>
      <c r="N35" s="19"/>
    </row>
    <row r="36" spans="2:14" ht="12.75">
      <c r="B36" s="18"/>
      <c r="C36" s="100" t="s">
        <v>228</v>
      </c>
      <c r="D36" s="112" t="e">
        <f t="shared" ref="D36:I36" si="8">D$54*$K36</f>
        <v>#DIV/0!</v>
      </c>
      <c r="E36" s="112" t="e">
        <f t="shared" si="8"/>
        <v>#DIV/0!</v>
      </c>
      <c r="F36" s="112" t="e">
        <f t="shared" si="8"/>
        <v>#DIV/0!</v>
      </c>
      <c r="G36" s="112" t="e">
        <f t="shared" si="8"/>
        <v>#DIV/0!</v>
      </c>
      <c r="H36" s="112" t="e">
        <f t="shared" si="8"/>
        <v>#DIV/0!</v>
      </c>
      <c r="I36" s="112" t="e">
        <f t="shared" si="8"/>
        <v>#DIV/0!</v>
      </c>
      <c r="J36" s="114"/>
      <c r="K36" s="144">
        <f>'Operating Costs Summary'!$D$15</f>
        <v>0</v>
      </c>
      <c r="L36" s="160"/>
      <c r="M36" s="13" t="s">
        <v>229</v>
      </c>
      <c r="N36" s="19"/>
    </row>
    <row r="37" spans="2:14" ht="4.9000000000000004" customHeight="1">
      <c r="B37" s="18"/>
      <c r="C37" s="100"/>
      <c r="D37" s="112"/>
      <c r="E37" s="112"/>
      <c r="F37" s="112"/>
      <c r="G37" s="112"/>
      <c r="H37" s="112"/>
      <c r="I37" s="112"/>
      <c r="J37" s="114"/>
      <c r="K37" s="144"/>
      <c r="L37" s="160"/>
      <c r="M37" s="58"/>
      <c r="N37" s="19"/>
    </row>
    <row r="38" spans="2:14" ht="12.75">
      <c r="B38" s="18"/>
      <c r="C38" s="100" t="s">
        <v>230</v>
      </c>
      <c r="D38" s="112">
        <f t="shared" ref="D38:I38" si="9">D$60*$K38</f>
        <v>0</v>
      </c>
      <c r="E38" s="112">
        <f t="shared" si="9"/>
        <v>0</v>
      </c>
      <c r="F38" s="112">
        <f t="shared" si="9"/>
        <v>0</v>
      </c>
      <c r="G38" s="112">
        <f t="shared" si="9"/>
        <v>0</v>
      </c>
      <c r="H38" s="112">
        <f t="shared" si="9"/>
        <v>0</v>
      </c>
      <c r="I38" s="112" t="e">
        <f t="shared" si="9"/>
        <v>#DIV/0!</v>
      </c>
      <c r="J38" s="114"/>
      <c r="K38" s="144">
        <f>'Operating Costs Summary'!$D$16</f>
        <v>0</v>
      </c>
      <c r="L38" s="160"/>
      <c r="M38" s="13" t="s">
        <v>231</v>
      </c>
      <c r="N38" s="19"/>
    </row>
    <row r="39" spans="2:14" ht="4.9000000000000004" customHeight="1">
      <c r="B39" s="18"/>
      <c r="C39" s="100"/>
      <c r="D39" s="112"/>
      <c r="E39" s="112"/>
      <c r="F39" s="112"/>
      <c r="G39" s="112"/>
      <c r="H39" s="112"/>
      <c r="I39" s="112"/>
      <c r="J39" s="114"/>
      <c r="K39" s="144"/>
      <c r="L39" s="160"/>
      <c r="M39" s="58"/>
      <c r="N39" s="19"/>
    </row>
    <row r="40" spans="2:14" ht="12.75">
      <c r="B40" s="18"/>
      <c r="C40" s="100" t="s">
        <v>232</v>
      </c>
      <c r="D40" s="112" t="e">
        <f t="shared" ref="D40:I40" si="10">D$62*$K40</f>
        <v>#DIV/0!</v>
      </c>
      <c r="E40" s="112" t="e">
        <f t="shared" si="10"/>
        <v>#DIV/0!</v>
      </c>
      <c r="F40" s="112" t="e">
        <f t="shared" si="10"/>
        <v>#DIV/0!</v>
      </c>
      <c r="G40" s="112" t="e">
        <f t="shared" si="10"/>
        <v>#DIV/0!</v>
      </c>
      <c r="H40" s="112" t="e">
        <f t="shared" si="10"/>
        <v>#DIV/0!</v>
      </c>
      <c r="I40" s="112" t="e">
        <f t="shared" si="10"/>
        <v>#DIV/0!</v>
      </c>
      <c r="J40" s="114"/>
      <c r="K40" s="144">
        <f>'Operating Costs Summary'!$D$18</f>
        <v>0</v>
      </c>
      <c r="L40" s="160"/>
      <c r="M40" s="13" t="s">
        <v>233</v>
      </c>
      <c r="N40" s="19"/>
    </row>
    <row r="41" spans="2:14" ht="4.9000000000000004" customHeight="1">
      <c r="B41" s="18"/>
      <c r="C41" s="100"/>
      <c r="D41" s="112"/>
      <c r="E41" s="112"/>
      <c r="F41" s="112"/>
      <c r="G41" s="112"/>
      <c r="H41" s="112"/>
      <c r="I41" s="112"/>
      <c r="J41" s="114"/>
      <c r="K41" s="114"/>
      <c r="L41" s="59"/>
      <c r="M41" s="58"/>
      <c r="N41" s="19"/>
    </row>
    <row r="42" spans="2:14" ht="13.5" thickBot="1">
      <c r="B42" s="18"/>
      <c r="C42" s="101" t="s">
        <v>234</v>
      </c>
      <c r="D42" s="145" t="e">
        <f t="shared" ref="D42:I42" si="11">SUM(D27:D41)</f>
        <v>#DIV/0!</v>
      </c>
      <c r="E42" s="145" t="e">
        <f t="shared" si="11"/>
        <v>#DIV/0!</v>
      </c>
      <c r="F42" s="145" t="e">
        <f t="shared" si="11"/>
        <v>#DIV/0!</v>
      </c>
      <c r="G42" s="145" t="e">
        <f t="shared" si="11"/>
        <v>#DIV/0!</v>
      </c>
      <c r="H42" s="145" t="e">
        <f t="shared" si="11"/>
        <v>#DIV/0!</v>
      </c>
      <c r="I42" s="145" t="e">
        <f t="shared" si="11"/>
        <v>#DIV/0!</v>
      </c>
      <c r="J42" s="146"/>
      <c r="K42" s="147">
        <f>SUM(K27:K41)</f>
        <v>0</v>
      </c>
      <c r="L42" s="160"/>
      <c r="M42" s="58"/>
      <c r="N42" s="19"/>
    </row>
    <row r="43" spans="2:14" ht="10.15" customHeight="1" thickTop="1">
      <c r="B43" s="20"/>
      <c r="C43" s="125"/>
      <c r="D43" s="161"/>
      <c r="E43" s="161"/>
      <c r="F43" s="161"/>
      <c r="G43" s="161"/>
      <c r="H43" s="161"/>
      <c r="I43" s="161"/>
      <c r="J43" s="126"/>
      <c r="K43" s="126"/>
      <c r="L43" s="122"/>
      <c r="M43" s="116"/>
      <c r="N43" s="24"/>
    </row>
    <row r="44" spans="2:14" ht="12.75">
      <c r="C44" s="59"/>
      <c r="D44" s="162"/>
      <c r="E44" s="162"/>
      <c r="F44" s="162"/>
      <c r="G44" s="162"/>
      <c r="H44" s="162"/>
      <c r="I44" s="162"/>
      <c r="J44" s="120"/>
      <c r="K44" s="120"/>
      <c r="L44" s="59"/>
      <c r="M44" s="58"/>
    </row>
    <row r="45" spans="2:14" ht="12.75">
      <c r="B45" s="104" t="s">
        <v>235</v>
      </c>
      <c r="C45" s="96"/>
      <c r="D45" s="127"/>
      <c r="E45" s="127"/>
      <c r="F45" s="127"/>
      <c r="G45" s="127"/>
      <c r="H45" s="127"/>
      <c r="I45" s="127"/>
      <c r="J45" s="127"/>
      <c r="K45" s="96"/>
      <c r="L45" s="127"/>
      <c r="M45" s="157">
        <f>M15</f>
        <v>0</v>
      </c>
    </row>
    <row r="46" spans="2:14" ht="12.75">
      <c r="B46" s="15"/>
      <c r="C46" s="117"/>
      <c r="D46" s="117"/>
      <c r="E46" s="117"/>
      <c r="F46" s="117"/>
      <c r="G46" s="117"/>
      <c r="H46" s="117"/>
      <c r="I46" s="117"/>
      <c r="J46" s="117"/>
      <c r="K46" s="117"/>
      <c r="L46" s="117"/>
      <c r="M46" s="115"/>
      <c r="N46" s="17"/>
    </row>
    <row r="47" spans="2:14" ht="25.5">
      <c r="B47" s="18"/>
      <c r="C47" s="100" t="s">
        <v>236</v>
      </c>
      <c r="D47" s="169" t="s">
        <v>173</v>
      </c>
      <c r="E47" s="169" t="s">
        <v>237</v>
      </c>
      <c r="F47" s="169" t="s">
        <v>238</v>
      </c>
      <c r="G47" s="169" t="s">
        <v>239</v>
      </c>
      <c r="H47" s="169" t="s">
        <v>240</v>
      </c>
      <c r="I47" s="169" t="s">
        <v>241</v>
      </c>
      <c r="J47" s="124"/>
      <c r="K47" s="128" t="s">
        <v>159</v>
      </c>
      <c r="L47" s="96"/>
      <c r="M47" s="172" t="s">
        <v>242</v>
      </c>
      <c r="N47" s="19"/>
    </row>
    <row r="48" spans="2:14" ht="4.9000000000000004" customHeight="1">
      <c r="B48" s="18"/>
      <c r="C48" s="59"/>
      <c r="D48" s="129"/>
      <c r="E48" s="129"/>
      <c r="F48" s="129"/>
      <c r="G48" s="129"/>
      <c r="H48" s="129"/>
      <c r="I48" s="129"/>
      <c r="J48" s="124"/>
      <c r="K48" s="124"/>
      <c r="L48" s="96"/>
      <c r="M48" s="158"/>
      <c r="N48" s="19"/>
    </row>
    <row r="49" spans="2:14" ht="12.75">
      <c r="B49" s="18"/>
      <c r="C49" s="100" t="s">
        <v>243</v>
      </c>
      <c r="D49" s="170"/>
      <c r="E49" s="170"/>
      <c r="F49" s="170"/>
      <c r="G49" s="170"/>
      <c r="H49" s="170"/>
      <c r="I49" s="170"/>
      <c r="J49" s="130"/>
      <c r="K49" s="131">
        <f>SUM(D49:I49)</f>
        <v>0</v>
      </c>
      <c r="L49" s="163"/>
      <c r="M49" s="172" t="s">
        <v>244</v>
      </c>
      <c r="N49" s="19"/>
    </row>
    <row r="50" spans="2:14" ht="4.9000000000000004" customHeight="1">
      <c r="B50" s="18"/>
      <c r="C50" s="100"/>
      <c r="D50" s="132"/>
      <c r="E50" s="132"/>
      <c r="F50" s="132"/>
      <c r="G50" s="132"/>
      <c r="H50" s="132"/>
      <c r="I50" s="132"/>
      <c r="J50" s="130"/>
      <c r="K50" s="133"/>
      <c r="L50" s="163"/>
      <c r="M50" s="159"/>
      <c r="N50" s="19"/>
    </row>
    <row r="51" spans="2:14" ht="12.75">
      <c r="B51" s="18"/>
      <c r="C51" s="100" t="s">
        <v>245</v>
      </c>
      <c r="D51" s="170"/>
      <c r="E51" s="170"/>
      <c r="F51" s="170"/>
      <c r="G51" s="170"/>
      <c r="H51" s="170"/>
      <c r="I51" s="170"/>
      <c r="J51" s="130"/>
      <c r="K51" s="133"/>
      <c r="L51" s="163"/>
      <c r="M51" s="172" t="s">
        <v>246</v>
      </c>
      <c r="N51" s="19"/>
    </row>
    <row r="52" spans="2:14" ht="4.9000000000000004" customHeight="1">
      <c r="B52" s="18"/>
      <c r="C52" s="100"/>
      <c r="D52" s="132"/>
      <c r="E52" s="132"/>
      <c r="F52" s="132"/>
      <c r="G52" s="132"/>
      <c r="H52" s="132"/>
      <c r="I52" s="132"/>
      <c r="J52" s="130"/>
      <c r="K52" s="133"/>
      <c r="L52" s="163"/>
      <c r="M52" s="159"/>
      <c r="N52" s="19"/>
    </row>
    <row r="53" spans="2:14" ht="12.75">
      <c r="B53" s="18"/>
      <c r="C53" s="100" t="s">
        <v>247</v>
      </c>
      <c r="D53" s="132">
        <f>D49*D51</f>
        <v>0</v>
      </c>
      <c r="E53" s="132">
        <f t="shared" ref="E53:I53" si="12">E49*E51</f>
        <v>0</v>
      </c>
      <c r="F53" s="132">
        <f t="shared" si="12"/>
        <v>0</v>
      </c>
      <c r="G53" s="132">
        <f t="shared" ref="G53" si="13">G49*G51</f>
        <v>0</v>
      </c>
      <c r="H53" s="132">
        <f t="shared" si="12"/>
        <v>0</v>
      </c>
      <c r="I53" s="132">
        <f t="shared" si="12"/>
        <v>0</v>
      </c>
      <c r="J53" s="130"/>
      <c r="K53" s="131">
        <f>SUM(D53:I53)</f>
        <v>0</v>
      </c>
      <c r="L53" s="163"/>
      <c r="M53" s="159"/>
      <c r="N53" s="19"/>
    </row>
    <row r="54" spans="2:14" ht="12.75">
      <c r="B54" s="18"/>
      <c r="C54" s="100" t="s">
        <v>248</v>
      </c>
      <c r="D54" s="134" t="e">
        <f t="shared" ref="D54:I54" si="14">D53/$K$53</f>
        <v>#DIV/0!</v>
      </c>
      <c r="E54" s="134" t="e">
        <f t="shared" si="14"/>
        <v>#DIV/0!</v>
      </c>
      <c r="F54" s="134" t="e">
        <f t="shared" si="14"/>
        <v>#DIV/0!</v>
      </c>
      <c r="G54" s="134" t="e">
        <f t="shared" si="14"/>
        <v>#DIV/0!</v>
      </c>
      <c r="H54" s="134" t="e">
        <f t="shared" si="14"/>
        <v>#DIV/0!</v>
      </c>
      <c r="I54" s="134" t="e">
        <f t="shared" si="14"/>
        <v>#DIV/0!</v>
      </c>
      <c r="J54" s="130"/>
      <c r="K54" s="135" t="e">
        <f>SUM(D54:I54)</f>
        <v>#DIV/0!</v>
      </c>
      <c r="L54" s="165"/>
      <c r="M54" s="159"/>
      <c r="N54" s="19"/>
    </row>
    <row r="55" spans="2:14" ht="12.75">
      <c r="B55" s="18"/>
      <c r="C55" s="100"/>
      <c r="D55" s="136"/>
      <c r="E55" s="136"/>
      <c r="F55" s="136"/>
      <c r="G55" s="136"/>
      <c r="H55" s="136"/>
      <c r="I55" s="136"/>
      <c r="J55" s="130"/>
      <c r="K55" s="130"/>
      <c r="L55" s="59"/>
      <c r="M55" s="159"/>
      <c r="N55" s="19"/>
    </row>
    <row r="56" spans="2:14" ht="12.75">
      <c r="B56" s="18"/>
      <c r="C56" s="100" t="s">
        <v>249</v>
      </c>
      <c r="D56" s="171" t="s">
        <v>250</v>
      </c>
      <c r="E56" s="171" t="s">
        <v>250</v>
      </c>
      <c r="F56" s="171" t="s">
        <v>250</v>
      </c>
      <c r="G56" s="171" t="s">
        <v>250</v>
      </c>
      <c r="H56" s="171"/>
      <c r="I56" s="171"/>
      <c r="J56" s="130"/>
      <c r="K56" s="130"/>
      <c r="L56" s="160"/>
      <c r="M56" s="172" t="s">
        <v>251</v>
      </c>
      <c r="N56" s="19"/>
    </row>
    <row r="57" spans="2:14" ht="12.75">
      <c r="B57" s="18"/>
      <c r="C57" s="100" t="s">
        <v>252</v>
      </c>
      <c r="D57" s="134" t="e">
        <f>IF(D$56="Yes",D$53/SUMIFS($D$53:$I$53,$D$56:$I$56,"Yes"),0)</f>
        <v>#DIV/0!</v>
      </c>
      <c r="E57" s="134" t="e">
        <f t="shared" ref="E57:I57" si="15">IF(E$56="Yes",E$53/SUMIFS($D$53:$I$53,$D$56:$I$56,"Yes"),0)</f>
        <v>#DIV/0!</v>
      </c>
      <c r="F57" s="134" t="e">
        <f t="shared" si="15"/>
        <v>#DIV/0!</v>
      </c>
      <c r="G57" s="134" t="e">
        <f t="shared" si="15"/>
        <v>#DIV/0!</v>
      </c>
      <c r="H57" s="134">
        <f t="shared" si="15"/>
        <v>0</v>
      </c>
      <c r="I57" s="134">
        <f t="shared" si="15"/>
        <v>0</v>
      </c>
      <c r="J57" s="130"/>
      <c r="K57" s="135" t="e">
        <f>SUM(D57:I57)</f>
        <v>#DIV/0!</v>
      </c>
      <c r="L57" s="160"/>
      <c r="M57" s="159"/>
      <c r="N57" s="19"/>
    </row>
    <row r="58" spans="2:14" ht="4.9000000000000004" customHeight="1">
      <c r="B58" s="18"/>
      <c r="C58" s="100"/>
      <c r="D58" s="166"/>
      <c r="E58" s="166"/>
      <c r="F58" s="166"/>
      <c r="G58" s="166"/>
      <c r="H58" s="166"/>
      <c r="I58" s="166"/>
      <c r="J58" s="130"/>
      <c r="K58" s="130"/>
      <c r="L58" s="160"/>
      <c r="M58" s="58"/>
      <c r="N58" s="19"/>
    </row>
    <row r="59" spans="2:14" ht="12.75">
      <c r="B59" s="18"/>
      <c r="C59" s="100" t="s">
        <v>253</v>
      </c>
      <c r="D59" s="171"/>
      <c r="E59" s="171"/>
      <c r="F59" s="171"/>
      <c r="G59" s="171"/>
      <c r="H59" s="171"/>
      <c r="I59" s="171" t="s">
        <v>250</v>
      </c>
      <c r="J59" s="130"/>
      <c r="K59" s="130"/>
      <c r="L59" s="160"/>
      <c r="M59" s="172" t="s">
        <v>254</v>
      </c>
      <c r="N59" s="19"/>
    </row>
    <row r="60" spans="2:14" ht="12.75">
      <c r="B60" s="18"/>
      <c r="C60" s="100" t="s">
        <v>255</v>
      </c>
      <c r="D60" s="134">
        <f t="shared" ref="D60:I60" si="16">IF(D$59="Yes",D$49/SUMIFS($D$49:$I$49,$D$59:$I$59,"Yes"),0)</f>
        <v>0</v>
      </c>
      <c r="E60" s="134">
        <f t="shared" si="16"/>
        <v>0</v>
      </c>
      <c r="F60" s="134">
        <f t="shared" si="16"/>
        <v>0</v>
      </c>
      <c r="G60" s="134">
        <f t="shared" si="16"/>
        <v>0</v>
      </c>
      <c r="H60" s="134">
        <f t="shared" si="16"/>
        <v>0</v>
      </c>
      <c r="I60" s="134" t="e">
        <f t="shared" si="16"/>
        <v>#DIV/0!</v>
      </c>
      <c r="J60" s="130"/>
      <c r="K60" s="135" t="e">
        <f>SUM(D60:I60)</f>
        <v>#DIV/0!</v>
      </c>
      <c r="L60" s="160"/>
      <c r="M60" s="100"/>
      <c r="N60" s="19"/>
    </row>
    <row r="61" spans="2:14" ht="12.75">
      <c r="B61" s="18"/>
      <c r="C61" s="100"/>
      <c r="D61" s="166"/>
      <c r="E61" s="166"/>
      <c r="F61" s="166"/>
      <c r="G61" s="166"/>
      <c r="H61" s="166"/>
      <c r="I61" s="166"/>
      <c r="J61" s="100"/>
      <c r="K61" s="100"/>
      <c r="L61" s="100"/>
      <c r="M61" s="100"/>
      <c r="N61" s="19"/>
    </row>
    <row r="62" spans="2:14" ht="12.75">
      <c r="B62" s="18"/>
      <c r="C62" s="100" t="s">
        <v>256</v>
      </c>
      <c r="D62" s="134" t="e">
        <f>SUM(D$27:D$36)/SUM($K$27:$K$36)</f>
        <v>#DIV/0!</v>
      </c>
      <c r="E62" s="134" t="e">
        <f t="shared" ref="E62:I62" si="17">SUM(E$27:E$36)/SUM($K$27:$K$36)</f>
        <v>#DIV/0!</v>
      </c>
      <c r="F62" s="134" t="e">
        <f t="shared" si="17"/>
        <v>#DIV/0!</v>
      </c>
      <c r="G62" s="134" t="e">
        <f t="shared" si="17"/>
        <v>#DIV/0!</v>
      </c>
      <c r="H62" s="134" t="e">
        <f t="shared" si="17"/>
        <v>#DIV/0!</v>
      </c>
      <c r="I62" s="134" t="e">
        <f t="shared" si="17"/>
        <v>#DIV/0!</v>
      </c>
      <c r="J62" s="130"/>
      <c r="K62" s="135" t="e">
        <f>SUM(D62:I62)</f>
        <v>#DIV/0!</v>
      </c>
      <c r="L62" s="160"/>
      <c r="M62" s="164"/>
      <c r="N62" s="19"/>
    </row>
    <row r="63" spans="2:14" ht="10.15" customHeight="1">
      <c r="B63" s="20"/>
      <c r="C63" s="21"/>
      <c r="D63" s="22"/>
      <c r="E63" s="22"/>
      <c r="F63" s="22"/>
      <c r="G63" s="22"/>
      <c r="H63" s="22"/>
      <c r="I63" s="22"/>
      <c r="J63" s="22"/>
      <c r="K63" s="22"/>
      <c r="L63" s="23"/>
      <c r="M63" s="23"/>
      <c r="N63" s="24"/>
    </row>
  </sheetData>
  <sheetProtection sheet="1" objects="1" scenarios="1"/>
  <dataValidations count="1">
    <dataValidation type="list" allowBlank="1" showInputMessage="1" showErrorMessage="1" sqref="D56:I56 D59:I59" xr:uid="{00000000-0002-0000-0600-000000000000}">
      <formula1>"Yes,No"</formula1>
    </dataValidation>
  </dataValidations>
  <hyperlinks>
    <hyperlink ref="M28" location="Inputs_SalariesWages" display="Update_Salaries_and_Wages" xr:uid="{00000000-0004-0000-0600-000000000000}"/>
    <hyperlink ref="M30" location="Inputs_OtherStaffCosts" display="Update_Other_Staff_Costs" xr:uid="{00000000-0004-0000-0600-000001000000}"/>
    <hyperlink ref="M32" location="Input_CapitalAllocation" display="Update_Capital_Allocation" xr:uid="{00000000-0004-0000-0600-000002000000}"/>
    <hyperlink ref="M34" location="Inputs_PlantEquipemtCosts" display="Update_Plant_and_Equipment_Costs" xr:uid="{00000000-0004-0000-0600-000003000000}"/>
    <hyperlink ref="M36" location="Input_OtherOperatingCosts" display="&gt;&gt;&gt; Update_Other_Costs" xr:uid="{00000000-0004-0000-0600-000004000000}"/>
    <hyperlink ref="M40" location="Inputs_AdministrativeCosts" display="Update_Administration_Costs" xr:uid="{00000000-0004-0000-0600-000005000000}"/>
    <hyperlink ref="M38" location="Input_ThirdParty" display="&gt;&gt;&gt; Update_Third Party Costs" xr:uid="{00000000-0004-0000-0600-000006000000}"/>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C1504D"/>
  </sheetPr>
  <dimension ref="B1:S65"/>
  <sheetViews>
    <sheetView showGridLines="0" zoomScaleNormal="100" workbookViewId="0">
      <selection activeCell="D53" sqref="D53:J53"/>
    </sheetView>
  </sheetViews>
  <sheetFormatPr defaultRowHeight="11.25"/>
  <cols>
    <col min="1" max="2" width="4.6640625" customWidth="1"/>
    <col min="3" max="3" width="42" customWidth="1"/>
    <col min="4" max="13" width="16.5" customWidth="1"/>
    <col min="14" max="14" width="2.6640625" customWidth="1"/>
    <col min="15" max="15" width="14.33203125" bestFit="1" customWidth="1"/>
    <col min="16" max="16" width="2.6640625" customWidth="1"/>
    <col min="17" max="17" width="74.5" customWidth="1"/>
    <col min="18" max="18" width="4.6640625" customWidth="1"/>
  </cols>
  <sheetData>
    <row r="1" spans="2:19" ht="16.5" thickBot="1">
      <c r="B1" s="364" t="e">
        <f ca="1">RIGHT(CELL("filename",B1),LEN(CELL("filename",B1))-FIND("]",CELL("filename",B1)))</f>
        <v>#VALUE!</v>
      </c>
      <c r="C1" s="4"/>
      <c r="D1" s="4"/>
      <c r="E1" s="4"/>
      <c r="F1" s="4"/>
      <c r="G1" s="4"/>
      <c r="H1" s="4"/>
      <c r="I1" s="4"/>
      <c r="J1" s="4"/>
      <c r="K1" s="4"/>
      <c r="L1" s="4"/>
      <c r="M1" s="4"/>
      <c r="N1" s="4"/>
      <c r="O1" s="4"/>
      <c r="P1" s="4"/>
      <c r="Q1" s="4"/>
      <c r="R1" s="4"/>
      <c r="S1" s="4"/>
    </row>
    <row r="2" spans="2:19" ht="12" thickTop="1"/>
    <row r="3" spans="2:19" ht="12.75">
      <c r="B3" s="264" t="s">
        <v>257</v>
      </c>
      <c r="C3" s="264"/>
      <c r="D3" s="264"/>
      <c r="E3" s="264"/>
      <c r="F3" s="264"/>
      <c r="G3" s="264"/>
      <c r="H3" s="264"/>
      <c r="I3" s="264"/>
      <c r="J3" s="264"/>
      <c r="K3" s="264"/>
      <c r="L3" s="264"/>
      <c r="M3" s="264"/>
      <c r="N3" s="264"/>
      <c r="O3" s="264"/>
    </row>
    <row r="4" spans="2:19" ht="4.1500000000000004" customHeight="1">
      <c r="B4" s="264"/>
      <c r="C4" s="264"/>
      <c r="D4" s="264"/>
      <c r="E4" s="264"/>
      <c r="F4" s="264"/>
      <c r="G4" s="264"/>
      <c r="H4" s="264"/>
      <c r="I4" s="264"/>
      <c r="J4" s="264"/>
      <c r="K4" s="264"/>
      <c r="L4" s="264"/>
      <c r="M4" s="264"/>
      <c r="N4" s="264"/>
      <c r="O4" s="264"/>
    </row>
    <row r="5" spans="2:19" ht="12.75">
      <c r="B5" s="343" t="s">
        <v>209</v>
      </c>
      <c r="C5" s="264"/>
      <c r="D5" s="264"/>
      <c r="E5" s="264"/>
      <c r="F5" s="264"/>
      <c r="G5" s="264"/>
      <c r="H5" s="264"/>
      <c r="I5" s="264"/>
      <c r="J5" s="264"/>
      <c r="K5" s="264"/>
      <c r="L5" s="264"/>
      <c r="M5" s="264"/>
      <c r="N5" s="264"/>
      <c r="O5" s="264"/>
    </row>
    <row r="6" spans="2:19" ht="12.75">
      <c r="B6" s="266" t="s">
        <v>258</v>
      </c>
      <c r="C6" s="264"/>
      <c r="D6" s="264"/>
      <c r="E6" s="264"/>
      <c r="F6" s="264"/>
      <c r="G6" s="264"/>
      <c r="H6" s="264"/>
      <c r="I6" s="264"/>
      <c r="J6" s="264"/>
      <c r="K6" s="264"/>
      <c r="L6" s="264"/>
      <c r="M6" s="264"/>
      <c r="N6" s="264"/>
      <c r="O6" s="264"/>
    </row>
    <row r="7" spans="2:19" ht="12.75">
      <c r="B7" s="344" t="s">
        <v>259</v>
      </c>
      <c r="C7" s="264"/>
      <c r="D7" s="264"/>
      <c r="E7" s="264"/>
      <c r="F7" s="264"/>
      <c r="G7" s="264"/>
      <c r="H7" s="264"/>
      <c r="I7" s="264"/>
      <c r="J7" s="264"/>
      <c r="K7" s="264"/>
      <c r="L7" s="264"/>
      <c r="M7" s="264"/>
      <c r="N7" s="264"/>
      <c r="O7" s="264"/>
    </row>
    <row r="8" spans="2:19" ht="12.75">
      <c r="B8" s="266" t="s">
        <v>260</v>
      </c>
      <c r="C8" s="264"/>
      <c r="D8" s="264"/>
      <c r="E8" s="264"/>
      <c r="F8" s="264"/>
      <c r="G8" s="264"/>
      <c r="H8" s="264"/>
      <c r="I8" s="264"/>
      <c r="J8" s="264"/>
      <c r="K8" s="264"/>
      <c r="L8" s="264"/>
      <c r="M8" s="264"/>
      <c r="N8" s="264"/>
      <c r="O8" s="264"/>
    </row>
    <row r="9" spans="2:19" ht="12.75">
      <c r="B9" s="266" t="s">
        <v>261</v>
      </c>
      <c r="C9" s="264"/>
      <c r="D9" s="264"/>
      <c r="E9" s="264"/>
      <c r="F9" s="264"/>
      <c r="G9" s="264"/>
      <c r="H9" s="264"/>
      <c r="I9" s="264"/>
      <c r="J9" s="264"/>
      <c r="K9" s="264"/>
      <c r="L9" s="264"/>
      <c r="M9" s="264"/>
      <c r="N9" s="264"/>
      <c r="O9" s="264"/>
    </row>
    <row r="10" spans="2:19" ht="12.75">
      <c r="B10" s="344" t="s">
        <v>262</v>
      </c>
      <c r="C10" s="264"/>
      <c r="D10" s="264"/>
      <c r="E10" s="264"/>
      <c r="F10" s="264"/>
      <c r="G10" s="264"/>
      <c r="H10" s="264"/>
      <c r="I10" s="264"/>
      <c r="J10" s="264"/>
      <c r="K10" s="264"/>
      <c r="L10" s="264"/>
      <c r="M10" s="264"/>
      <c r="N10" s="264"/>
      <c r="O10" s="264"/>
    </row>
    <row r="11" spans="2:19" ht="12.75">
      <c r="B11" s="266" t="s">
        <v>263</v>
      </c>
      <c r="C11" s="264"/>
      <c r="D11" s="264"/>
      <c r="E11" s="264"/>
      <c r="F11" s="264"/>
      <c r="G11" s="264"/>
      <c r="H11" s="264"/>
      <c r="I11" s="264"/>
      <c r="J11" s="264"/>
      <c r="K11" s="264"/>
      <c r="L11" s="264"/>
      <c r="M11" s="264"/>
      <c r="N11" s="264"/>
      <c r="O11" s="264"/>
    </row>
    <row r="12" spans="2:19" ht="12.75">
      <c r="B12" s="266" t="s">
        <v>264</v>
      </c>
      <c r="C12" s="264"/>
      <c r="D12" s="264"/>
      <c r="E12" s="264"/>
      <c r="F12" s="264"/>
      <c r="G12" s="264"/>
      <c r="H12" s="264"/>
      <c r="I12" s="264"/>
      <c r="J12" s="264"/>
      <c r="K12" s="264"/>
      <c r="L12" s="264"/>
      <c r="M12" s="264"/>
      <c r="N12" s="264"/>
      <c r="O12" s="264"/>
    </row>
    <row r="14" spans="2:19" ht="12.75">
      <c r="B14" s="104" t="s">
        <v>265</v>
      </c>
      <c r="D14" s="22"/>
      <c r="E14" s="22"/>
      <c r="F14" s="22"/>
      <c r="G14" s="22"/>
      <c r="H14" s="22"/>
      <c r="I14" s="22"/>
      <c r="J14" s="22"/>
      <c r="K14" s="22"/>
      <c r="L14" s="22"/>
      <c r="M14" s="22"/>
      <c r="N14" s="10"/>
      <c r="O14" s="10"/>
    </row>
    <row r="15" spans="2:19" ht="42" customHeight="1">
      <c r="B15" s="15"/>
      <c r="C15" s="117"/>
      <c r="D15" s="36" t="str">
        <f t="shared" ref="D15:M15" si="0">D49</f>
        <v>General Lawn</v>
      </c>
      <c r="E15" s="36" t="str">
        <f t="shared" si="0"/>
        <v>Children</v>
      </c>
      <c r="F15" s="36" t="str">
        <f t="shared" si="0"/>
        <v>Mausoleum</v>
      </c>
      <c r="G15" s="36" t="str">
        <f t="shared" si="0"/>
        <v>Ashes Rose Garden</v>
      </c>
      <c r="H15" s="36" t="str">
        <f t="shared" si="0"/>
        <v>Columbarium Wall</v>
      </c>
      <c r="I15" s="36" t="str">
        <f t="shared" si="0"/>
        <v>Feature Garden</v>
      </c>
      <c r="J15" s="36" t="str">
        <f t="shared" si="0"/>
        <v>Head and Beam</v>
      </c>
      <c r="K15" s="36">
        <f t="shared" si="0"/>
        <v>0</v>
      </c>
      <c r="L15" s="36">
        <f t="shared" si="0"/>
        <v>0</v>
      </c>
      <c r="M15" s="36">
        <f t="shared" si="0"/>
        <v>0</v>
      </c>
      <c r="N15" s="117"/>
      <c r="O15" s="118"/>
      <c r="P15" s="16"/>
      <c r="Q15" s="16"/>
      <c r="R15" s="17"/>
    </row>
    <row r="16" spans="2:19" ht="4.9000000000000004" customHeight="1">
      <c r="B16" s="18"/>
      <c r="C16" s="119"/>
      <c r="D16" s="43"/>
      <c r="E16" s="43"/>
      <c r="F16" s="43"/>
      <c r="G16" s="43"/>
      <c r="H16" s="43"/>
      <c r="I16" s="43"/>
      <c r="J16" s="43"/>
      <c r="K16" s="43"/>
      <c r="L16" s="43"/>
      <c r="M16" s="43"/>
      <c r="N16" s="59"/>
      <c r="O16" s="59"/>
      <c r="R16" s="19"/>
    </row>
    <row r="17" spans="2:18" ht="12.75">
      <c r="B17" s="18"/>
      <c r="C17" s="100" t="s">
        <v>266</v>
      </c>
      <c r="D17" s="140">
        <f t="shared" ref="D17:M17" si="1">IF(D51&lt;=0,0,SUM(D27:D41)/D51)</f>
        <v>0</v>
      </c>
      <c r="E17" s="140">
        <f t="shared" si="1"/>
        <v>0</v>
      </c>
      <c r="F17" s="140">
        <f t="shared" si="1"/>
        <v>0</v>
      </c>
      <c r="G17" s="140">
        <f t="shared" si="1"/>
        <v>0</v>
      </c>
      <c r="H17" s="140">
        <f t="shared" si="1"/>
        <v>0</v>
      </c>
      <c r="I17" s="140">
        <f t="shared" si="1"/>
        <v>0</v>
      </c>
      <c r="J17" s="140">
        <f t="shared" si="1"/>
        <v>0</v>
      </c>
      <c r="K17" s="140">
        <f t="shared" si="1"/>
        <v>0</v>
      </c>
      <c r="L17" s="140">
        <f t="shared" si="1"/>
        <v>0</v>
      </c>
      <c r="M17" s="140">
        <f t="shared" si="1"/>
        <v>0</v>
      </c>
      <c r="N17" s="111"/>
      <c r="O17" s="111"/>
      <c r="R17" s="19"/>
    </row>
    <row r="18" spans="2:18" ht="4.9000000000000004" customHeight="1">
      <c r="B18" s="18"/>
      <c r="C18" s="100"/>
      <c r="D18" s="109"/>
      <c r="E18" s="109"/>
      <c r="F18" s="109"/>
      <c r="G18" s="109"/>
      <c r="H18" s="109"/>
      <c r="I18" s="109"/>
      <c r="J18" s="109"/>
      <c r="K18" s="109"/>
      <c r="L18" s="109"/>
      <c r="M18" s="109"/>
      <c r="N18" s="111"/>
      <c r="O18" s="111"/>
      <c r="R18" s="19"/>
    </row>
    <row r="19" spans="2:18" ht="12.75">
      <c r="B19" s="18"/>
      <c r="C19" s="100" t="s">
        <v>192</v>
      </c>
      <c r="D19" s="140">
        <f t="shared" ref="D19:M19" si="2">IF(D51&lt;=0,0,D42/D51)</f>
        <v>0</v>
      </c>
      <c r="E19" s="140">
        <f t="shared" si="2"/>
        <v>0</v>
      </c>
      <c r="F19" s="140">
        <f t="shared" si="2"/>
        <v>0</v>
      </c>
      <c r="G19" s="140">
        <f t="shared" si="2"/>
        <v>0</v>
      </c>
      <c r="H19" s="140">
        <f t="shared" si="2"/>
        <v>0</v>
      </c>
      <c r="I19" s="140">
        <f t="shared" si="2"/>
        <v>0</v>
      </c>
      <c r="J19" s="140">
        <f t="shared" si="2"/>
        <v>0</v>
      </c>
      <c r="K19" s="140">
        <f t="shared" si="2"/>
        <v>0</v>
      </c>
      <c r="L19" s="140">
        <f t="shared" si="2"/>
        <v>0</v>
      </c>
      <c r="M19" s="140">
        <f t="shared" si="2"/>
        <v>0</v>
      </c>
      <c r="N19" s="111"/>
      <c r="O19" s="111"/>
      <c r="R19" s="19"/>
    </row>
    <row r="20" spans="2:18" ht="4.9000000000000004" customHeight="1">
      <c r="B20" s="18"/>
      <c r="C20" s="100"/>
      <c r="D20" s="109"/>
      <c r="E20" s="109"/>
      <c r="F20" s="109"/>
      <c r="G20" s="109"/>
      <c r="H20" s="109"/>
      <c r="I20" s="109"/>
      <c r="J20" s="109"/>
      <c r="K20" s="109"/>
      <c r="L20" s="109"/>
      <c r="M20" s="109"/>
      <c r="N20" s="111"/>
      <c r="O20" s="111"/>
      <c r="R20" s="19"/>
    </row>
    <row r="21" spans="2:18" ht="13.5" thickBot="1">
      <c r="B21" s="18"/>
      <c r="C21" s="101" t="s">
        <v>267</v>
      </c>
      <c r="D21" s="110">
        <f t="shared" ref="D21:M21" si="3">IF(D51&lt;=0,0,D44/D51)</f>
        <v>0</v>
      </c>
      <c r="E21" s="110">
        <f t="shared" si="3"/>
        <v>0</v>
      </c>
      <c r="F21" s="110">
        <f t="shared" si="3"/>
        <v>0</v>
      </c>
      <c r="G21" s="110">
        <f t="shared" si="3"/>
        <v>0</v>
      </c>
      <c r="H21" s="110">
        <f t="shared" si="3"/>
        <v>0</v>
      </c>
      <c r="I21" s="110">
        <f t="shared" si="3"/>
        <v>0</v>
      </c>
      <c r="J21" s="110">
        <f t="shared" si="3"/>
        <v>0</v>
      </c>
      <c r="K21" s="110">
        <f t="shared" si="3"/>
        <v>0</v>
      </c>
      <c r="L21" s="110">
        <f t="shared" si="3"/>
        <v>0</v>
      </c>
      <c r="M21" s="110">
        <f t="shared" si="3"/>
        <v>0</v>
      </c>
      <c r="N21" s="111"/>
      <c r="O21" s="111"/>
      <c r="P21" s="7"/>
      <c r="R21" s="19"/>
    </row>
    <row r="22" spans="2:18" ht="10.15" customHeight="1" thickTop="1">
      <c r="B22" s="20"/>
      <c r="C22" s="121"/>
      <c r="D22" s="141"/>
      <c r="E22" s="141"/>
      <c r="F22" s="141"/>
      <c r="G22" s="141"/>
      <c r="H22" s="141"/>
      <c r="I22" s="141"/>
      <c r="J22" s="141"/>
      <c r="K22" s="141"/>
      <c r="L22" s="141"/>
      <c r="M22" s="141"/>
      <c r="N22" s="141"/>
      <c r="O22" s="141"/>
      <c r="P22" s="23"/>
      <c r="Q22" s="23"/>
      <c r="R22" s="24"/>
    </row>
    <row r="23" spans="2:18" ht="12.75">
      <c r="C23" s="119"/>
      <c r="D23" s="142"/>
      <c r="E23" s="142"/>
      <c r="F23" s="142"/>
      <c r="G23" s="142"/>
      <c r="H23" s="142"/>
      <c r="I23" s="142"/>
      <c r="J23" s="142"/>
      <c r="K23" s="142"/>
      <c r="L23" s="142"/>
      <c r="M23" s="142"/>
      <c r="N23" s="111"/>
      <c r="O23" s="111"/>
    </row>
    <row r="24" spans="2:18" ht="12.75">
      <c r="B24" s="104" t="s">
        <v>268</v>
      </c>
      <c r="C24" s="119"/>
      <c r="D24" s="141"/>
      <c r="E24" s="141"/>
      <c r="F24" s="141"/>
      <c r="G24" s="141"/>
      <c r="H24" s="141"/>
      <c r="I24" s="141"/>
      <c r="J24" s="141"/>
      <c r="K24" s="141"/>
      <c r="L24" s="141"/>
      <c r="M24" s="141"/>
      <c r="N24" s="111"/>
      <c r="O24" s="111"/>
    </row>
    <row r="25" spans="2:18" ht="10.15" customHeight="1">
      <c r="B25" s="15"/>
      <c r="C25" s="123"/>
      <c r="D25" s="143"/>
      <c r="E25" s="143"/>
      <c r="F25" s="143"/>
      <c r="G25" s="143"/>
      <c r="H25" s="143"/>
      <c r="I25" s="143"/>
      <c r="J25" s="143"/>
      <c r="K25" s="143"/>
      <c r="L25" s="143"/>
      <c r="M25" s="143"/>
      <c r="N25" s="142"/>
      <c r="O25" s="142"/>
      <c r="P25" s="16"/>
      <c r="Q25" s="16"/>
      <c r="R25" s="17"/>
    </row>
    <row r="26" spans="2:18" ht="12.75">
      <c r="B26" s="18"/>
      <c r="C26" s="100" t="s">
        <v>269</v>
      </c>
      <c r="D26" s="109"/>
      <c r="E26" s="109"/>
      <c r="F26" s="109"/>
      <c r="G26" s="109"/>
      <c r="H26" s="109"/>
      <c r="I26" s="109"/>
      <c r="J26" s="109"/>
      <c r="K26" s="109"/>
      <c r="L26" s="109"/>
      <c r="M26" s="109"/>
      <c r="N26" s="111"/>
      <c r="O26" s="111" t="s">
        <v>159</v>
      </c>
      <c r="Q26" s="148"/>
      <c r="R26" s="19"/>
    </row>
    <row r="27" spans="2:18" ht="4.9000000000000004" customHeight="1">
      <c r="B27" s="18"/>
      <c r="C27" s="100"/>
      <c r="D27" s="109"/>
      <c r="E27" s="109"/>
      <c r="F27" s="109"/>
      <c r="G27" s="109"/>
      <c r="H27" s="109"/>
      <c r="I27" s="109"/>
      <c r="J27" s="109"/>
      <c r="K27" s="109"/>
      <c r="L27" s="109"/>
      <c r="M27" s="109"/>
      <c r="N27" s="111"/>
      <c r="O27" s="111"/>
      <c r="Q27" s="148"/>
      <c r="R27" s="19"/>
    </row>
    <row r="28" spans="2:18" ht="12.75">
      <c r="B28" s="18"/>
      <c r="C28" s="100" t="s">
        <v>220</v>
      </c>
      <c r="D28" s="112" t="e">
        <f t="shared" ref="D28:M28" si="4">D$56*$O28</f>
        <v>#DIV/0!</v>
      </c>
      <c r="E28" s="112" t="e">
        <f t="shared" si="4"/>
        <v>#DIV/0!</v>
      </c>
      <c r="F28" s="112" t="e">
        <f t="shared" si="4"/>
        <v>#DIV/0!</v>
      </c>
      <c r="G28" s="112" t="e">
        <f t="shared" si="4"/>
        <v>#DIV/0!</v>
      </c>
      <c r="H28" s="112" t="e">
        <f t="shared" si="4"/>
        <v>#DIV/0!</v>
      </c>
      <c r="I28" s="112" t="e">
        <f t="shared" si="4"/>
        <v>#DIV/0!</v>
      </c>
      <c r="J28" s="112" t="e">
        <f t="shared" si="4"/>
        <v>#DIV/0!</v>
      </c>
      <c r="K28" s="112" t="e">
        <f t="shared" si="4"/>
        <v>#DIV/0!</v>
      </c>
      <c r="L28" s="112" t="e">
        <f t="shared" si="4"/>
        <v>#DIV/0!</v>
      </c>
      <c r="M28" s="112" t="e">
        <f t="shared" si="4"/>
        <v>#DIV/0!</v>
      </c>
      <c r="N28" s="114"/>
      <c r="O28" s="144">
        <f>'Operating Costs Summary'!$E$9</f>
        <v>0</v>
      </c>
      <c r="P28" s="5"/>
      <c r="Q28" s="13" t="s">
        <v>221</v>
      </c>
      <c r="R28" s="19"/>
    </row>
    <row r="29" spans="2:18" ht="4.9000000000000004" customHeight="1">
      <c r="B29" s="18"/>
      <c r="C29" s="100"/>
      <c r="D29" s="112"/>
      <c r="E29" s="112"/>
      <c r="F29" s="112"/>
      <c r="G29" s="112"/>
      <c r="H29" s="112"/>
      <c r="I29" s="112"/>
      <c r="J29" s="112"/>
      <c r="K29" s="112"/>
      <c r="L29" s="112"/>
      <c r="M29" s="112"/>
      <c r="N29" s="114"/>
      <c r="O29" s="144"/>
      <c r="P29" s="5"/>
      <c r="Q29" s="148"/>
      <c r="R29" s="19"/>
    </row>
    <row r="30" spans="2:18" ht="12.75">
      <c r="B30" s="18"/>
      <c r="C30" s="100" t="s">
        <v>222</v>
      </c>
      <c r="D30" s="112" t="e">
        <f t="shared" ref="D30:M30" si="5">D$56*$O30</f>
        <v>#DIV/0!</v>
      </c>
      <c r="E30" s="112" t="e">
        <f t="shared" si="5"/>
        <v>#DIV/0!</v>
      </c>
      <c r="F30" s="112" t="e">
        <f t="shared" si="5"/>
        <v>#DIV/0!</v>
      </c>
      <c r="G30" s="112" t="e">
        <f t="shared" si="5"/>
        <v>#DIV/0!</v>
      </c>
      <c r="H30" s="112" t="e">
        <f t="shared" si="5"/>
        <v>#DIV/0!</v>
      </c>
      <c r="I30" s="112" t="e">
        <f t="shared" si="5"/>
        <v>#DIV/0!</v>
      </c>
      <c r="J30" s="112" t="e">
        <f t="shared" si="5"/>
        <v>#DIV/0!</v>
      </c>
      <c r="K30" s="112" t="e">
        <f t="shared" si="5"/>
        <v>#DIV/0!</v>
      </c>
      <c r="L30" s="112" t="e">
        <f t="shared" si="5"/>
        <v>#DIV/0!</v>
      </c>
      <c r="M30" s="112" t="e">
        <f t="shared" si="5"/>
        <v>#DIV/0!</v>
      </c>
      <c r="N30" s="114"/>
      <c r="O30" s="144">
        <f>'Operating Costs Summary'!$E$10</f>
        <v>0</v>
      </c>
      <c r="P30" s="5"/>
      <c r="Q30" s="13" t="s">
        <v>223</v>
      </c>
      <c r="R30" s="19"/>
    </row>
    <row r="31" spans="2:18" ht="4.9000000000000004" customHeight="1">
      <c r="B31" s="18"/>
      <c r="C31" s="100"/>
      <c r="D31" s="112"/>
      <c r="E31" s="112"/>
      <c r="F31" s="112"/>
      <c r="G31" s="112"/>
      <c r="H31" s="112"/>
      <c r="I31" s="112"/>
      <c r="J31" s="112"/>
      <c r="K31" s="112"/>
      <c r="L31" s="112"/>
      <c r="M31" s="112"/>
      <c r="N31" s="114"/>
      <c r="O31" s="144"/>
      <c r="P31" s="5"/>
      <c r="Q31" s="148"/>
      <c r="R31" s="19"/>
    </row>
    <row r="32" spans="2:18" ht="12.75">
      <c r="B32" s="18"/>
      <c r="C32" s="100" t="s">
        <v>270</v>
      </c>
      <c r="D32" s="112" t="e">
        <f t="shared" ref="D32:M32" si="6">D$56*$O32</f>
        <v>#DIV/0!</v>
      </c>
      <c r="E32" s="112" t="e">
        <f t="shared" si="6"/>
        <v>#DIV/0!</v>
      </c>
      <c r="F32" s="112" t="e">
        <f t="shared" si="6"/>
        <v>#DIV/0!</v>
      </c>
      <c r="G32" s="112" t="e">
        <f t="shared" si="6"/>
        <v>#DIV/0!</v>
      </c>
      <c r="H32" s="112" t="e">
        <f t="shared" si="6"/>
        <v>#DIV/0!</v>
      </c>
      <c r="I32" s="112" t="e">
        <f t="shared" si="6"/>
        <v>#DIV/0!</v>
      </c>
      <c r="J32" s="112" t="e">
        <f t="shared" si="6"/>
        <v>#DIV/0!</v>
      </c>
      <c r="K32" s="112" t="e">
        <f t="shared" si="6"/>
        <v>#DIV/0!</v>
      </c>
      <c r="L32" s="112" t="e">
        <f t="shared" si="6"/>
        <v>#DIV/0!</v>
      </c>
      <c r="M32" s="112" t="e">
        <f t="shared" si="6"/>
        <v>#DIV/0!</v>
      </c>
      <c r="N32" s="114"/>
      <c r="O32" s="144">
        <f>'Operating Costs Summary'!$E$11</f>
        <v>0</v>
      </c>
      <c r="P32" s="5"/>
      <c r="Q32" s="13" t="s">
        <v>271</v>
      </c>
      <c r="R32" s="19"/>
    </row>
    <row r="33" spans="2:18" ht="4.9000000000000004" customHeight="1">
      <c r="B33" s="18"/>
      <c r="C33" s="100"/>
      <c r="D33" s="112"/>
      <c r="E33" s="112"/>
      <c r="F33" s="112"/>
      <c r="G33" s="112"/>
      <c r="H33" s="112"/>
      <c r="I33" s="112"/>
      <c r="J33" s="112"/>
      <c r="K33" s="112"/>
      <c r="L33" s="112"/>
      <c r="M33" s="112"/>
      <c r="N33" s="114"/>
      <c r="O33" s="144"/>
      <c r="P33" s="5"/>
      <c r="Q33" s="148"/>
      <c r="R33" s="19"/>
    </row>
    <row r="34" spans="2:18" ht="12.75">
      <c r="B34" s="18"/>
      <c r="C34" s="100" t="s">
        <v>224</v>
      </c>
      <c r="D34" s="112" t="e">
        <f t="shared" ref="D34:M34" si="7">D$59*$O34</f>
        <v>#DIV/0!</v>
      </c>
      <c r="E34" s="112" t="e">
        <f t="shared" si="7"/>
        <v>#DIV/0!</v>
      </c>
      <c r="F34" s="112">
        <f t="shared" si="7"/>
        <v>0</v>
      </c>
      <c r="G34" s="112" t="e">
        <f t="shared" si="7"/>
        <v>#DIV/0!</v>
      </c>
      <c r="H34" s="112">
        <f t="shared" si="7"/>
        <v>0</v>
      </c>
      <c r="I34" s="112" t="e">
        <f t="shared" si="7"/>
        <v>#DIV/0!</v>
      </c>
      <c r="J34" s="112" t="e">
        <f t="shared" si="7"/>
        <v>#DIV/0!</v>
      </c>
      <c r="K34" s="112">
        <f t="shared" si="7"/>
        <v>0</v>
      </c>
      <c r="L34" s="112">
        <f t="shared" si="7"/>
        <v>0</v>
      </c>
      <c r="M34" s="112">
        <f t="shared" si="7"/>
        <v>0</v>
      </c>
      <c r="N34" s="114"/>
      <c r="O34" s="144">
        <f>'Operating Costs Summary'!$E$13</f>
        <v>0</v>
      </c>
      <c r="P34" s="5"/>
      <c r="Q34" s="13" t="s">
        <v>225</v>
      </c>
      <c r="R34" s="19"/>
    </row>
    <row r="35" spans="2:18" ht="4.9000000000000004" customHeight="1">
      <c r="B35" s="18"/>
      <c r="C35" s="100"/>
      <c r="D35" s="112"/>
      <c r="E35" s="112"/>
      <c r="F35" s="112"/>
      <c r="G35" s="112"/>
      <c r="H35" s="112"/>
      <c r="I35" s="112"/>
      <c r="J35" s="112"/>
      <c r="K35" s="112"/>
      <c r="L35" s="112"/>
      <c r="M35" s="112"/>
      <c r="N35" s="114"/>
      <c r="O35" s="144"/>
      <c r="P35" s="5"/>
      <c r="Q35" s="148"/>
      <c r="R35" s="19"/>
    </row>
    <row r="36" spans="2:18" ht="12.75">
      <c r="B36" s="18"/>
      <c r="C36" s="100" t="s">
        <v>226</v>
      </c>
      <c r="D36" s="112" t="e">
        <f t="shared" ref="D36:M36" si="8">D$59*$O36</f>
        <v>#DIV/0!</v>
      </c>
      <c r="E36" s="112" t="e">
        <f t="shared" si="8"/>
        <v>#DIV/0!</v>
      </c>
      <c r="F36" s="112">
        <f t="shared" si="8"/>
        <v>0</v>
      </c>
      <c r="G36" s="112" t="e">
        <f t="shared" si="8"/>
        <v>#DIV/0!</v>
      </c>
      <c r="H36" s="112">
        <f t="shared" si="8"/>
        <v>0</v>
      </c>
      <c r="I36" s="112" t="e">
        <f t="shared" si="8"/>
        <v>#DIV/0!</v>
      </c>
      <c r="J36" s="112" t="e">
        <f t="shared" si="8"/>
        <v>#DIV/0!</v>
      </c>
      <c r="K36" s="112">
        <f t="shared" si="8"/>
        <v>0</v>
      </c>
      <c r="L36" s="112">
        <f t="shared" si="8"/>
        <v>0</v>
      </c>
      <c r="M36" s="112">
        <f t="shared" si="8"/>
        <v>0</v>
      </c>
      <c r="N36" s="114"/>
      <c r="O36" s="144">
        <f>'Operating Costs Summary'!$E$14</f>
        <v>0</v>
      </c>
      <c r="P36" s="5"/>
      <c r="Q36" s="13" t="s">
        <v>227</v>
      </c>
      <c r="R36" s="19"/>
    </row>
    <row r="37" spans="2:18" ht="4.9000000000000004" customHeight="1">
      <c r="B37" s="18"/>
      <c r="C37" s="100"/>
      <c r="D37" s="112"/>
      <c r="E37" s="112"/>
      <c r="F37" s="112"/>
      <c r="G37" s="112"/>
      <c r="H37" s="112"/>
      <c r="I37" s="112"/>
      <c r="J37" s="112"/>
      <c r="K37" s="112"/>
      <c r="L37" s="112"/>
      <c r="M37" s="112"/>
      <c r="N37" s="114"/>
      <c r="O37" s="144"/>
      <c r="P37" s="5"/>
      <c r="Q37" s="148"/>
      <c r="R37" s="19"/>
    </row>
    <row r="38" spans="2:18" ht="12.75">
      <c r="B38" s="18"/>
      <c r="C38" s="100" t="s">
        <v>228</v>
      </c>
      <c r="D38" s="112" t="e">
        <f t="shared" ref="D38:M38" si="9">D$56*$O38</f>
        <v>#DIV/0!</v>
      </c>
      <c r="E38" s="112" t="e">
        <f t="shared" si="9"/>
        <v>#DIV/0!</v>
      </c>
      <c r="F38" s="112" t="e">
        <f t="shared" si="9"/>
        <v>#DIV/0!</v>
      </c>
      <c r="G38" s="112" t="e">
        <f t="shared" si="9"/>
        <v>#DIV/0!</v>
      </c>
      <c r="H38" s="112" t="e">
        <f t="shared" si="9"/>
        <v>#DIV/0!</v>
      </c>
      <c r="I38" s="112" t="e">
        <f t="shared" si="9"/>
        <v>#DIV/0!</v>
      </c>
      <c r="J38" s="112" t="e">
        <f t="shared" si="9"/>
        <v>#DIV/0!</v>
      </c>
      <c r="K38" s="112" t="e">
        <f t="shared" si="9"/>
        <v>#DIV/0!</v>
      </c>
      <c r="L38" s="112" t="e">
        <f t="shared" si="9"/>
        <v>#DIV/0!</v>
      </c>
      <c r="M38" s="112" t="e">
        <f t="shared" si="9"/>
        <v>#DIV/0!</v>
      </c>
      <c r="N38" s="114"/>
      <c r="O38" s="144">
        <f>'Operating Costs Summary'!$E$15</f>
        <v>0</v>
      </c>
      <c r="P38" s="5"/>
      <c r="Q38" s="13" t="s">
        <v>229</v>
      </c>
      <c r="R38" s="19"/>
    </row>
    <row r="39" spans="2:18" ht="4.1500000000000004" customHeight="1">
      <c r="B39" s="18"/>
      <c r="C39" s="100"/>
      <c r="D39" s="112"/>
      <c r="E39" s="112"/>
      <c r="F39" s="112"/>
      <c r="G39" s="112"/>
      <c r="H39" s="112"/>
      <c r="I39" s="112"/>
      <c r="J39" s="112"/>
      <c r="K39" s="112"/>
      <c r="L39" s="112"/>
      <c r="M39" s="112"/>
      <c r="N39" s="114"/>
      <c r="O39" s="144"/>
      <c r="P39" s="5"/>
      <c r="Q39" s="13"/>
      <c r="R39" s="19"/>
    </row>
    <row r="40" spans="2:18" ht="12.75">
      <c r="B40" s="18"/>
      <c r="C40" s="100" t="s">
        <v>230</v>
      </c>
      <c r="D40" s="112" t="e">
        <f t="shared" ref="D40:M40" si="10">D$62*$O40</f>
        <v>#DIV/0!</v>
      </c>
      <c r="E40" s="112" t="e">
        <f t="shared" si="10"/>
        <v>#DIV/0!</v>
      </c>
      <c r="F40" s="112">
        <f t="shared" si="10"/>
        <v>0</v>
      </c>
      <c r="G40" s="112">
        <f t="shared" si="10"/>
        <v>0</v>
      </c>
      <c r="H40" s="112">
        <f t="shared" si="10"/>
        <v>0</v>
      </c>
      <c r="I40" s="112">
        <f t="shared" si="10"/>
        <v>0</v>
      </c>
      <c r="J40" s="112">
        <f t="shared" si="10"/>
        <v>0</v>
      </c>
      <c r="K40" s="112">
        <f t="shared" si="10"/>
        <v>0</v>
      </c>
      <c r="L40" s="112">
        <f t="shared" si="10"/>
        <v>0</v>
      </c>
      <c r="M40" s="112">
        <f t="shared" si="10"/>
        <v>0</v>
      </c>
      <c r="N40" s="114"/>
      <c r="O40" s="144">
        <f>'Operating Costs Summary'!$E$16</f>
        <v>0</v>
      </c>
      <c r="P40" s="5"/>
      <c r="Q40" s="13" t="s">
        <v>231</v>
      </c>
      <c r="R40" s="19"/>
    </row>
    <row r="41" spans="2:18" ht="4.9000000000000004" customHeight="1">
      <c r="B41" s="18"/>
      <c r="C41" s="100"/>
      <c r="D41" s="112"/>
      <c r="E41" s="112"/>
      <c r="F41" s="112"/>
      <c r="G41" s="112"/>
      <c r="H41" s="112"/>
      <c r="I41" s="112"/>
      <c r="J41" s="112"/>
      <c r="K41" s="112"/>
      <c r="L41" s="112"/>
      <c r="M41" s="112"/>
      <c r="N41" s="114"/>
      <c r="O41" s="144"/>
      <c r="P41" s="5"/>
      <c r="Q41" s="148"/>
      <c r="R41" s="19"/>
    </row>
    <row r="42" spans="2:18" ht="12.75">
      <c r="B42" s="18"/>
      <c r="C42" s="100" t="s">
        <v>232</v>
      </c>
      <c r="D42" s="112" t="e">
        <f t="shared" ref="D42:M42" si="11">D$64*$O42</f>
        <v>#DIV/0!</v>
      </c>
      <c r="E42" s="112" t="e">
        <f t="shared" si="11"/>
        <v>#DIV/0!</v>
      </c>
      <c r="F42" s="112" t="e">
        <f t="shared" si="11"/>
        <v>#DIV/0!</v>
      </c>
      <c r="G42" s="112" t="e">
        <f t="shared" si="11"/>
        <v>#DIV/0!</v>
      </c>
      <c r="H42" s="112" t="e">
        <f t="shared" si="11"/>
        <v>#DIV/0!</v>
      </c>
      <c r="I42" s="112" t="e">
        <f t="shared" si="11"/>
        <v>#DIV/0!</v>
      </c>
      <c r="J42" s="112" t="e">
        <f t="shared" si="11"/>
        <v>#DIV/0!</v>
      </c>
      <c r="K42" s="112" t="e">
        <f t="shared" si="11"/>
        <v>#DIV/0!</v>
      </c>
      <c r="L42" s="112" t="e">
        <f t="shared" si="11"/>
        <v>#DIV/0!</v>
      </c>
      <c r="M42" s="112" t="e">
        <f t="shared" si="11"/>
        <v>#DIV/0!</v>
      </c>
      <c r="N42" s="114"/>
      <c r="O42" s="144">
        <f>'Operating Costs Summary'!$E$18</f>
        <v>0</v>
      </c>
      <c r="P42" s="5"/>
      <c r="Q42" s="13" t="s">
        <v>233</v>
      </c>
      <c r="R42" s="19"/>
    </row>
    <row r="43" spans="2:18" ht="4.9000000000000004" customHeight="1">
      <c r="B43" s="18"/>
      <c r="C43" s="100"/>
      <c r="D43" s="112"/>
      <c r="E43" s="112"/>
      <c r="F43" s="112"/>
      <c r="G43" s="112"/>
      <c r="H43" s="112"/>
      <c r="I43" s="112"/>
      <c r="J43" s="112"/>
      <c r="K43" s="112"/>
      <c r="L43" s="112"/>
      <c r="M43" s="112"/>
      <c r="N43" s="114"/>
      <c r="O43" s="114"/>
      <c r="Q43" s="148"/>
      <c r="R43" s="19"/>
    </row>
    <row r="44" spans="2:18" ht="13.5" thickBot="1">
      <c r="B44" s="18"/>
      <c r="C44" s="101" t="s">
        <v>234</v>
      </c>
      <c r="D44" s="145" t="e">
        <f>SUM(D27:D43)</f>
        <v>#DIV/0!</v>
      </c>
      <c r="E44" s="145" t="e">
        <f>SUM(E27:E43)</f>
        <v>#DIV/0!</v>
      </c>
      <c r="F44" s="145" t="e">
        <f>SUM(F27:F43)</f>
        <v>#DIV/0!</v>
      </c>
      <c r="G44" s="145" t="e">
        <f>SUM(G27:G43)</f>
        <v>#DIV/0!</v>
      </c>
      <c r="H44" s="145" t="e">
        <f t="shared" ref="H44:M44" si="12">SUM(H27:H43)</f>
        <v>#DIV/0!</v>
      </c>
      <c r="I44" s="145" t="e">
        <f t="shared" si="12"/>
        <v>#DIV/0!</v>
      </c>
      <c r="J44" s="145" t="e">
        <f t="shared" si="12"/>
        <v>#DIV/0!</v>
      </c>
      <c r="K44" s="145" t="e">
        <f t="shared" si="12"/>
        <v>#DIV/0!</v>
      </c>
      <c r="L44" s="145" t="e">
        <f t="shared" si="12"/>
        <v>#DIV/0!</v>
      </c>
      <c r="M44" s="145" t="e">
        <f t="shared" si="12"/>
        <v>#DIV/0!</v>
      </c>
      <c r="N44" s="146"/>
      <c r="O44" s="147">
        <f>SUM(O27:O43)</f>
        <v>0</v>
      </c>
      <c r="P44" s="7"/>
      <c r="Q44" s="148"/>
      <c r="R44" s="19"/>
    </row>
    <row r="45" spans="2:18" ht="10.15" customHeight="1" thickTop="1">
      <c r="B45" s="20"/>
      <c r="C45" s="125"/>
      <c r="D45" s="126"/>
      <c r="E45" s="126"/>
      <c r="F45" s="126"/>
      <c r="G45" s="126"/>
      <c r="H45" s="126"/>
      <c r="I45" s="126"/>
      <c r="J45" s="126"/>
      <c r="K45" s="126"/>
      <c r="L45" s="126"/>
      <c r="M45" s="126"/>
      <c r="N45" s="126"/>
      <c r="O45" s="126"/>
      <c r="P45" s="23"/>
      <c r="Q45" s="149"/>
      <c r="R45" s="24"/>
    </row>
    <row r="46" spans="2:18" ht="12.75">
      <c r="C46" s="59"/>
      <c r="D46" s="59"/>
      <c r="E46" s="59"/>
      <c r="F46" s="59"/>
      <c r="G46" s="59"/>
      <c r="H46" s="59"/>
      <c r="I46" s="59"/>
      <c r="J46" s="59"/>
      <c r="K46" s="59"/>
      <c r="L46" s="59"/>
      <c r="M46" s="59"/>
      <c r="N46" s="59"/>
      <c r="O46" s="59"/>
      <c r="Q46" s="148"/>
    </row>
    <row r="47" spans="2:18" ht="12.75">
      <c r="B47" s="104" t="s">
        <v>272</v>
      </c>
      <c r="C47" s="96"/>
      <c r="D47" s="127"/>
      <c r="E47" s="127"/>
      <c r="F47" s="127"/>
      <c r="G47" s="127"/>
      <c r="H47" s="127"/>
      <c r="I47" s="127"/>
      <c r="J47" s="127"/>
      <c r="K47" s="127"/>
      <c r="L47" s="127"/>
      <c r="M47" s="127">
        <f>M15</f>
        <v>0</v>
      </c>
      <c r="N47" s="127"/>
      <c r="O47" s="128"/>
      <c r="P47" s="25"/>
      <c r="Q47" s="150">
        <f>Q15</f>
        <v>0</v>
      </c>
    </row>
    <row r="48" spans="2:18" ht="12.75">
      <c r="B48" s="15"/>
      <c r="C48" s="117"/>
      <c r="D48" s="117"/>
      <c r="E48" s="117"/>
      <c r="F48" s="117"/>
      <c r="G48" s="117"/>
      <c r="H48" s="117"/>
      <c r="I48" s="117"/>
      <c r="J48" s="117"/>
      <c r="K48" s="117"/>
      <c r="L48" s="117"/>
      <c r="M48" s="117"/>
      <c r="N48" s="117"/>
      <c r="O48" s="117"/>
      <c r="P48" s="16"/>
      <c r="Q48" s="151"/>
      <c r="R48" s="17"/>
    </row>
    <row r="49" spans="2:18" ht="25.5">
      <c r="B49" s="18"/>
      <c r="C49" s="100" t="s">
        <v>273</v>
      </c>
      <c r="D49" s="169" t="s">
        <v>274</v>
      </c>
      <c r="E49" s="169" t="s">
        <v>275</v>
      </c>
      <c r="F49" s="169" t="s">
        <v>276</v>
      </c>
      <c r="G49" s="169" t="s">
        <v>277</v>
      </c>
      <c r="H49" s="169" t="s">
        <v>240</v>
      </c>
      <c r="I49" s="169" t="s">
        <v>278</v>
      </c>
      <c r="J49" s="169" t="s">
        <v>168</v>
      </c>
      <c r="K49" s="169"/>
      <c r="L49" s="169"/>
      <c r="M49" s="169"/>
      <c r="N49" s="124"/>
      <c r="O49" s="366" t="s">
        <v>159</v>
      </c>
      <c r="Q49" s="152" t="s">
        <v>279</v>
      </c>
      <c r="R49" s="19"/>
    </row>
    <row r="50" spans="2:18" ht="4.9000000000000004" customHeight="1">
      <c r="B50" s="18"/>
      <c r="C50" s="59"/>
      <c r="D50" s="129"/>
      <c r="E50" s="129"/>
      <c r="F50" s="129"/>
      <c r="G50" s="129"/>
      <c r="H50" s="129"/>
      <c r="I50" s="129"/>
      <c r="J50" s="129"/>
      <c r="K50" s="129"/>
      <c r="L50" s="129"/>
      <c r="M50" s="129"/>
      <c r="N50" s="124"/>
      <c r="O50" s="366"/>
      <c r="Q50" s="153"/>
      <c r="R50" s="19"/>
    </row>
    <row r="51" spans="2:18" ht="12.75">
      <c r="B51" s="18"/>
      <c r="C51" s="100" t="s">
        <v>280</v>
      </c>
      <c r="D51" s="170"/>
      <c r="E51" s="170"/>
      <c r="F51" s="170"/>
      <c r="G51" s="170"/>
      <c r="H51" s="170"/>
      <c r="I51" s="170"/>
      <c r="J51" s="170"/>
      <c r="K51" s="170"/>
      <c r="L51" s="170"/>
      <c r="M51" s="170"/>
      <c r="N51" s="130"/>
      <c r="O51" s="367">
        <f>SUM(D51:M51)</f>
        <v>0</v>
      </c>
      <c r="P51" s="11"/>
      <c r="Q51" s="152" t="s">
        <v>281</v>
      </c>
      <c r="R51" s="19"/>
    </row>
    <row r="52" spans="2:18" ht="4.9000000000000004" customHeight="1">
      <c r="B52" s="18"/>
      <c r="C52" s="100"/>
      <c r="D52" s="132"/>
      <c r="E52" s="132"/>
      <c r="F52" s="132"/>
      <c r="G52" s="132"/>
      <c r="H52" s="132"/>
      <c r="I52" s="132"/>
      <c r="J52" s="132"/>
      <c r="K52" s="132"/>
      <c r="L52" s="132"/>
      <c r="M52" s="132"/>
      <c r="N52" s="130"/>
      <c r="O52" s="368"/>
      <c r="P52" s="11"/>
      <c r="Q52" s="153"/>
      <c r="R52" s="19"/>
    </row>
    <row r="53" spans="2:18" ht="27.6" customHeight="1">
      <c r="B53" s="18"/>
      <c r="C53" s="100" t="s">
        <v>282</v>
      </c>
      <c r="D53" s="170"/>
      <c r="E53" s="170"/>
      <c r="F53" s="170"/>
      <c r="G53" s="170"/>
      <c r="H53" s="170"/>
      <c r="I53" s="170"/>
      <c r="J53" s="170"/>
      <c r="K53" s="170"/>
      <c r="L53" s="170"/>
      <c r="M53" s="170"/>
      <c r="N53" s="130"/>
      <c r="O53" s="368"/>
      <c r="P53" s="11"/>
      <c r="Q53" s="152" t="s">
        <v>283</v>
      </c>
      <c r="R53" s="19"/>
    </row>
    <row r="54" spans="2:18" ht="4.9000000000000004" customHeight="1">
      <c r="B54" s="18"/>
      <c r="C54" s="100"/>
      <c r="D54" s="132"/>
      <c r="E54" s="132"/>
      <c r="F54" s="132"/>
      <c r="G54" s="132"/>
      <c r="H54" s="132"/>
      <c r="I54" s="132"/>
      <c r="J54" s="132"/>
      <c r="K54" s="132"/>
      <c r="L54" s="132"/>
      <c r="M54" s="132"/>
      <c r="N54" s="130"/>
      <c r="O54" s="368"/>
      <c r="P54" s="11"/>
      <c r="Q54" s="154"/>
      <c r="R54" s="19"/>
    </row>
    <row r="55" spans="2:18" ht="12.75">
      <c r="B55" s="18"/>
      <c r="C55" s="100" t="s">
        <v>247</v>
      </c>
      <c r="D55" s="132">
        <f t="shared" ref="D55:M55" si="13">D53*12</f>
        <v>0</v>
      </c>
      <c r="E55" s="132">
        <f t="shared" si="13"/>
        <v>0</v>
      </c>
      <c r="F55" s="132">
        <f t="shared" si="13"/>
        <v>0</v>
      </c>
      <c r="G55" s="132">
        <f t="shared" si="13"/>
        <v>0</v>
      </c>
      <c r="H55" s="132">
        <f t="shared" si="13"/>
        <v>0</v>
      </c>
      <c r="I55" s="132">
        <f t="shared" si="13"/>
        <v>0</v>
      </c>
      <c r="J55" s="132">
        <f t="shared" si="13"/>
        <v>0</v>
      </c>
      <c r="K55" s="132">
        <f t="shared" si="13"/>
        <v>0</v>
      </c>
      <c r="L55" s="132">
        <f t="shared" si="13"/>
        <v>0</v>
      </c>
      <c r="M55" s="132">
        <f t="shared" si="13"/>
        <v>0</v>
      </c>
      <c r="N55" s="130"/>
      <c r="O55" s="367">
        <f>SUM(D55:M55)</f>
        <v>0</v>
      </c>
      <c r="P55" s="11"/>
      <c r="Q55" s="154"/>
      <c r="R55" s="19"/>
    </row>
    <row r="56" spans="2:18" ht="12.75">
      <c r="B56" s="18"/>
      <c r="C56" s="100" t="s">
        <v>284</v>
      </c>
      <c r="D56" s="134" t="e">
        <f>D55/$O$55</f>
        <v>#DIV/0!</v>
      </c>
      <c r="E56" s="134" t="e">
        <f>E55/$O$55</f>
        <v>#DIV/0!</v>
      </c>
      <c r="F56" s="134" t="e">
        <f>F55/$O$55</f>
        <v>#DIV/0!</v>
      </c>
      <c r="G56" s="134" t="e">
        <f>G55/$O$55</f>
        <v>#DIV/0!</v>
      </c>
      <c r="H56" s="134" t="e">
        <f t="shared" ref="H56:M56" si="14">H55/$O$55</f>
        <v>#DIV/0!</v>
      </c>
      <c r="I56" s="134" t="e">
        <f t="shared" si="14"/>
        <v>#DIV/0!</v>
      </c>
      <c r="J56" s="134" t="e">
        <f t="shared" si="14"/>
        <v>#DIV/0!</v>
      </c>
      <c r="K56" s="134" t="e">
        <f t="shared" si="14"/>
        <v>#DIV/0!</v>
      </c>
      <c r="L56" s="134" t="e">
        <f t="shared" si="14"/>
        <v>#DIV/0!</v>
      </c>
      <c r="M56" s="134" t="e">
        <f t="shared" si="14"/>
        <v>#DIV/0!</v>
      </c>
      <c r="N56" s="130"/>
      <c r="O56" s="369" t="e">
        <f>SUM(D56:M56)</f>
        <v>#DIV/0!</v>
      </c>
      <c r="P56" s="12"/>
      <c r="Q56" s="154"/>
      <c r="R56" s="19"/>
    </row>
    <row r="57" spans="2:18" ht="12.75">
      <c r="B57" s="18"/>
      <c r="C57" s="100"/>
      <c r="D57" s="136"/>
      <c r="E57" s="136"/>
      <c r="F57" s="136"/>
      <c r="G57" s="136"/>
      <c r="H57" s="136"/>
      <c r="I57" s="136"/>
      <c r="J57" s="136"/>
      <c r="K57" s="136"/>
      <c r="L57" s="136"/>
      <c r="M57" s="136"/>
      <c r="N57" s="130"/>
      <c r="O57" s="370"/>
      <c r="Q57" s="154"/>
      <c r="R57" s="19"/>
    </row>
    <row r="58" spans="2:18" ht="12.75">
      <c r="B58" s="18"/>
      <c r="C58" s="100" t="s">
        <v>285</v>
      </c>
      <c r="D58" s="171" t="s">
        <v>250</v>
      </c>
      <c r="E58" s="171" t="s">
        <v>250</v>
      </c>
      <c r="F58" s="171"/>
      <c r="G58" s="171" t="s">
        <v>250</v>
      </c>
      <c r="H58" s="171"/>
      <c r="I58" s="171" t="s">
        <v>250</v>
      </c>
      <c r="J58" s="171" t="s">
        <v>250</v>
      </c>
      <c r="K58" s="171"/>
      <c r="L58" s="171"/>
      <c r="M58" s="171"/>
      <c r="N58" s="130"/>
      <c r="O58" s="370"/>
      <c r="P58" s="5"/>
      <c r="Q58" s="155" t="s">
        <v>286</v>
      </c>
      <c r="R58" s="19"/>
    </row>
    <row r="59" spans="2:18" ht="12.75">
      <c r="B59" s="18"/>
      <c r="C59" s="100" t="s">
        <v>287</v>
      </c>
      <c r="D59" s="134" t="e">
        <f>IF(D$58="Yes",D$55/SUMIFS($D$55:$M$55,$D$58:$M$58,"Yes"),0)</f>
        <v>#DIV/0!</v>
      </c>
      <c r="E59" s="134" t="e">
        <f t="shared" ref="E59:M59" si="15">IF(E$58="Yes",E$55/SUMIFS($D$55:$M$55,$D$58:$M$58,"Yes"),0)</f>
        <v>#DIV/0!</v>
      </c>
      <c r="F59" s="134">
        <f t="shared" si="15"/>
        <v>0</v>
      </c>
      <c r="G59" s="134" t="e">
        <f t="shared" si="15"/>
        <v>#DIV/0!</v>
      </c>
      <c r="H59" s="134">
        <f t="shared" si="15"/>
        <v>0</v>
      </c>
      <c r="I59" s="134" t="e">
        <f t="shared" si="15"/>
        <v>#DIV/0!</v>
      </c>
      <c r="J59" s="134" t="e">
        <f t="shared" si="15"/>
        <v>#DIV/0!</v>
      </c>
      <c r="K59" s="134">
        <f t="shared" si="15"/>
        <v>0</v>
      </c>
      <c r="L59" s="134">
        <f t="shared" si="15"/>
        <v>0</v>
      </c>
      <c r="M59" s="134">
        <f t="shared" si="15"/>
        <v>0</v>
      </c>
      <c r="N59" s="130"/>
      <c r="O59" s="369" t="e">
        <f>SUM(D59:M59)</f>
        <v>#DIV/0!</v>
      </c>
      <c r="P59" s="5"/>
      <c r="Q59" s="156"/>
      <c r="R59" s="19"/>
    </row>
    <row r="60" spans="2:18" ht="12.75">
      <c r="B60" s="18"/>
      <c r="C60" s="100"/>
      <c r="D60" s="136"/>
      <c r="E60" s="136"/>
      <c r="F60" s="136"/>
      <c r="G60" s="136"/>
      <c r="H60" s="136"/>
      <c r="I60" s="136"/>
      <c r="J60" s="136"/>
      <c r="K60" s="136"/>
      <c r="L60" s="136"/>
      <c r="M60" s="136"/>
      <c r="N60" s="137"/>
      <c r="O60" s="371"/>
      <c r="P60" s="26"/>
      <c r="Q60" s="156"/>
      <c r="R60" s="19"/>
    </row>
    <row r="61" spans="2:18" ht="12.75">
      <c r="B61" s="18"/>
      <c r="C61" s="100" t="s">
        <v>253</v>
      </c>
      <c r="D61" s="171" t="s">
        <v>250</v>
      </c>
      <c r="E61" s="171" t="s">
        <v>250</v>
      </c>
      <c r="F61" s="171"/>
      <c r="G61" s="171"/>
      <c r="H61" s="171"/>
      <c r="I61" s="171"/>
      <c r="J61" s="171"/>
      <c r="K61" s="171"/>
      <c r="L61" s="171"/>
      <c r="M61" s="171"/>
      <c r="N61" s="130"/>
      <c r="O61" s="370"/>
      <c r="P61" s="5"/>
      <c r="Q61" s="172" t="s">
        <v>254</v>
      </c>
      <c r="R61" s="19"/>
    </row>
    <row r="62" spans="2:18" ht="12.75">
      <c r="B62" s="18"/>
      <c r="C62" s="100" t="s">
        <v>255</v>
      </c>
      <c r="D62" s="134" t="e">
        <f t="shared" ref="D62:M62" si="16">IF(D$61="Yes",D$51/SUMIFS($D$51:$M$51,$D$61:$M$61,"Yes"),0)</f>
        <v>#DIV/0!</v>
      </c>
      <c r="E62" s="134" t="e">
        <f t="shared" si="16"/>
        <v>#DIV/0!</v>
      </c>
      <c r="F62" s="134">
        <f t="shared" si="16"/>
        <v>0</v>
      </c>
      <c r="G62" s="134">
        <f t="shared" si="16"/>
        <v>0</v>
      </c>
      <c r="H62" s="134">
        <f t="shared" si="16"/>
        <v>0</v>
      </c>
      <c r="I62" s="134">
        <f t="shared" si="16"/>
        <v>0</v>
      </c>
      <c r="J62" s="134">
        <f t="shared" si="16"/>
        <v>0</v>
      </c>
      <c r="K62" s="134">
        <f t="shared" si="16"/>
        <v>0</v>
      </c>
      <c r="L62" s="134">
        <f t="shared" si="16"/>
        <v>0</v>
      </c>
      <c r="M62" s="134">
        <f t="shared" si="16"/>
        <v>0</v>
      </c>
      <c r="N62" s="130"/>
      <c r="O62" s="369" t="e">
        <f>SUM(D62:M62)</f>
        <v>#DIV/0!</v>
      </c>
      <c r="P62" s="5"/>
      <c r="Q62" s="156"/>
      <c r="R62" s="19"/>
    </row>
    <row r="63" spans="2:18" ht="12.75">
      <c r="B63" s="18"/>
      <c r="C63" s="139"/>
      <c r="D63" s="136"/>
      <c r="E63" s="136"/>
      <c r="F63" s="136"/>
      <c r="G63" s="136"/>
      <c r="H63" s="136"/>
      <c r="I63" s="136"/>
      <c r="J63" s="136"/>
      <c r="K63" s="136"/>
      <c r="L63" s="136"/>
      <c r="M63" s="136"/>
      <c r="N63" s="138"/>
      <c r="O63" s="372"/>
      <c r="P63" s="28"/>
      <c r="Q63" s="29"/>
      <c r="R63" s="19"/>
    </row>
    <row r="64" spans="2:18" ht="12.75">
      <c r="B64" s="18"/>
      <c r="C64" s="100" t="s">
        <v>256</v>
      </c>
      <c r="D64" s="134" t="e">
        <f t="shared" ref="D64:M64" si="17">SUM(D$28:D$39)/SUM($O$28:$O$39)</f>
        <v>#DIV/0!</v>
      </c>
      <c r="E64" s="134" t="e">
        <f t="shared" si="17"/>
        <v>#DIV/0!</v>
      </c>
      <c r="F64" s="134" t="e">
        <f t="shared" si="17"/>
        <v>#DIV/0!</v>
      </c>
      <c r="G64" s="134" t="e">
        <f t="shared" si="17"/>
        <v>#DIV/0!</v>
      </c>
      <c r="H64" s="134" t="e">
        <f t="shared" si="17"/>
        <v>#DIV/0!</v>
      </c>
      <c r="I64" s="134" t="e">
        <f t="shared" si="17"/>
        <v>#DIV/0!</v>
      </c>
      <c r="J64" s="134" t="e">
        <f t="shared" si="17"/>
        <v>#DIV/0!</v>
      </c>
      <c r="K64" s="134" t="e">
        <f t="shared" si="17"/>
        <v>#DIV/0!</v>
      </c>
      <c r="L64" s="134" t="e">
        <f t="shared" si="17"/>
        <v>#DIV/0!</v>
      </c>
      <c r="M64" s="134" t="e">
        <f t="shared" si="17"/>
        <v>#DIV/0!</v>
      </c>
      <c r="N64" s="130"/>
      <c r="O64" s="369" t="e">
        <f>SUM(D64:M64)</f>
        <v>#DIV/0!</v>
      </c>
      <c r="P64" s="5"/>
      <c r="Q64" s="29"/>
      <c r="R64" s="19"/>
    </row>
    <row r="65" spans="2:18" ht="10.15" customHeight="1">
      <c r="B65" s="20"/>
      <c r="C65" s="21"/>
      <c r="D65" s="22"/>
      <c r="E65" s="22"/>
      <c r="F65" s="22"/>
      <c r="G65" s="22"/>
      <c r="H65" s="22"/>
      <c r="I65" s="22"/>
      <c r="J65" s="22"/>
      <c r="K65" s="22"/>
      <c r="L65" s="22"/>
      <c r="M65" s="22"/>
      <c r="N65" s="22"/>
      <c r="O65" s="22"/>
      <c r="P65" s="23"/>
      <c r="Q65" s="23"/>
      <c r="R65" s="24"/>
    </row>
  </sheetData>
  <sheetProtection sheet="1" objects="1" scenarios="1"/>
  <dataValidations count="1">
    <dataValidation type="list" allowBlank="1" showInputMessage="1" showErrorMessage="1" sqref="D58:M58 D61:M61" xr:uid="{00000000-0002-0000-0700-000000000000}">
      <formula1>"Yes,No"</formula1>
    </dataValidation>
  </dataValidations>
  <hyperlinks>
    <hyperlink ref="Q28" location="Inputs_SalariesWages" display="Update_Salaries_and_Wages" xr:uid="{00000000-0004-0000-0700-000000000000}"/>
    <hyperlink ref="Q30" location="Inputs_OtherStaffCosts" display="Update_Other_Staff_Costs" xr:uid="{00000000-0004-0000-0700-000001000000}"/>
    <hyperlink ref="Q34" location="Input_CapitalAllocation" display="Update_Capital_Allocation" xr:uid="{00000000-0004-0000-0700-000002000000}"/>
    <hyperlink ref="Q36" location="Inputs_PlantEquipemtCosts" display="Update_Plant_and_Equipment_Costs" xr:uid="{00000000-0004-0000-0700-000003000000}"/>
    <hyperlink ref="Q38" location="Input_OtherOperatingCosts" display="&gt;&gt;&gt; Update_Other_Costs" xr:uid="{00000000-0004-0000-0700-000004000000}"/>
    <hyperlink ref="Q42" location="Inputs_AdministrativeCosts" display="Update_Administration_Costs" xr:uid="{00000000-0004-0000-0700-000005000000}"/>
    <hyperlink ref="Q32" location="Inputs_GardeningHorticulture" display="&gt;&gt;&gt; Update_Gardening_and_Horticulture Cost" xr:uid="{00000000-0004-0000-0700-000006000000}"/>
    <hyperlink ref="Q40" location="Input_ThirdParty" display="&gt;&gt;&gt; Update_Third Party Costs" xr:uid="{00000000-0004-0000-0700-000007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C1504D"/>
  </sheetPr>
  <dimension ref="B1:P64"/>
  <sheetViews>
    <sheetView showGridLines="0" topLeftCell="A24" zoomScaleNormal="100" workbookViewId="0">
      <selection activeCell="D51" sqref="D51:H51"/>
    </sheetView>
  </sheetViews>
  <sheetFormatPr defaultRowHeight="11.25"/>
  <cols>
    <col min="1" max="2" width="4.6640625" customWidth="1"/>
    <col min="3" max="3" width="42" customWidth="1"/>
    <col min="4" max="10" width="16.5" customWidth="1"/>
    <col min="11" max="11" width="2.6640625" customWidth="1"/>
    <col min="12" max="12" width="14.33203125" bestFit="1" customWidth="1"/>
    <col min="13" max="13" width="2.6640625" customWidth="1"/>
    <col min="14" max="14" width="72.83203125" customWidth="1"/>
    <col min="15" max="15" width="4.6640625" customWidth="1"/>
  </cols>
  <sheetData>
    <row r="1" spans="2:16" ht="16.5" thickBot="1">
      <c r="B1" s="364" t="e">
        <f ca="1">RIGHT(CELL("filename",B1),LEN(CELL("filename",B1))-FIND("]",CELL("filename",B1)))</f>
        <v>#VALUE!</v>
      </c>
      <c r="C1" s="4"/>
      <c r="D1" s="4"/>
      <c r="E1" s="4"/>
      <c r="F1" s="4"/>
      <c r="G1" s="4"/>
      <c r="H1" s="4"/>
      <c r="I1" s="4"/>
      <c r="J1" s="4"/>
      <c r="K1" s="4"/>
      <c r="L1" s="4"/>
      <c r="M1" s="4"/>
      <c r="N1" s="4"/>
      <c r="O1" s="4"/>
      <c r="P1" s="4"/>
    </row>
    <row r="2" spans="2:16" ht="12" thickTop="1"/>
    <row r="3" spans="2:16" ht="12.75">
      <c r="B3" s="264" t="s">
        <v>288</v>
      </c>
      <c r="C3" s="264"/>
      <c r="D3" s="264"/>
      <c r="E3" s="264"/>
      <c r="F3" s="264"/>
      <c r="G3" s="264"/>
      <c r="H3" s="264"/>
      <c r="I3" s="264"/>
      <c r="J3" s="264"/>
      <c r="K3" s="264"/>
      <c r="L3" s="264"/>
      <c r="M3" s="264"/>
      <c r="N3" s="264"/>
      <c r="O3" s="264"/>
    </row>
    <row r="4" spans="2:16" ht="4.1500000000000004" customHeight="1">
      <c r="B4" s="264"/>
      <c r="C4" s="264"/>
      <c r="D4" s="264"/>
      <c r="E4" s="264"/>
      <c r="F4" s="264"/>
      <c r="G4" s="264"/>
      <c r="H4" s="264"/>
      <c r="I4" s="264"/>
      <c r="J4" s="264"/>
      <c r="K4" s="264"/>
      <c r="L4" s="264"/>
      <c r="M4" s="264"/>
      <c r="N4" s="264"/>
      <c r="O4" s="264"/>
    </row>
    <row r="5" spans="2:16" ht="12.75">
      <c r="B5" s="343" t="s">
        <v>209</v>
      </c>
      <c r="C5" s="264"/>
      <c r="D5" s="264"/>
      <c r="E5" s="264"/>
      <c r="F5" s="264"/>
      <c r="G5" s="264"/>
      <c r="H5" s="264"/>
      <c r="I5" s="264"/>
      <c r="J5" s="264"/>
      <c r="K5" s="264"/>
      <c r="L5" s="264"/>
      <c r="M5" s="264"/>
      <c r="N5" s="264"/>
      <c r="O5" s="264"/>
    </row>
    <row r="6" spans="2:16" ht="12.75">
      <c r="B6" s="266" t="s">
        <v>289</v>
      </c>
      <c r="C6" s="264"/>
      <c r="D6" s="264"/>
      <c r="E6" s="264"/>
      <c r="F6" s="264"/>
      <c r="G6" s="264"/>
      <c r="H6" s="264"/>
      <c r="I6" s="264"/>
      <c r="J6" s="264"/>
      <c r="K6" s="264"/>
      <c r="L6" s="264"/>
      <c r="M6" s="264"/>
      <c r="N6" s="264"/>
      <c r="O6" s="264"/>
    </row>
    <row r="7" spans="2:16" ht="12.75">
      <c r="B7" s="266" t="s">
        <v>290</v>
      </c>
      <c r="C7" s="264"/>
      <c r="D7" s="264"/>
      <c r="E7" s="264"/>
      <c r="F7" s="264"/>
      <c r="G7" s="264"/>
      <c r="H7" s="264"/>
      <c r="I7" s="264"/>
      <c r="J7" s="264"/>
      <c r="K7" s="264"/>
      <c r="L7" s="264"/>
      <c r="M7" s="264"/>
      <c r="N7" s="264"/>
      <c r="O7" s="264"/>
    </row>
    <row r="8" spans="2:16" ht="12.75">
      <c r="B8" s="266" t="s">
        <v>291</v>
      </c>
      <c r="C8" s="264"/>
      <c r="D8" s="264"/>
      <c r="E8" s="264"/>
      <c r="F8" s="264"/>
      <c r="G8" s="264"/>
      <c r="H8" s="264"/>
      <c r="I8" s="264"/>
      <c r="J8" s="264"/>
      <c r="K8" s="264"/>
      <c r="L8" s="264"/>
      <c r="M8" s="264"/>
      <c r="N8" s="264"/>
      <c r="O8" s="264"/>
    </row>
    <row r="9" spans="2:16" ht="12.75">
      <c r="B9" s="266" t="s">
        <v>292</v>
      </c>
      <c r="C9" s="264"/>
      <c r="D9" s="264"/>
      <c r="E9" s="264"/>
      <c r="F9" s="264"/>
      <c r="G9" s="264"/>
      <c r="H9" s="264"/>
      <c r="I9" s="264"/>
      <c r="J9" s="264"/>
      <c r="K9" s="264"/>
      <c r="L9" s="264"/>
      <c r="M9" s="264"/>
      <c r="N9" s="264"/>
      <c r="O9" s="264"/>
    </row>
    <row r="10" spans="2:16" ht="12.75">
      <c r="B10" s="266" t="s">
        <v>293</v>
      </c>
      <c r="C10" s="264"/>
      <c r="D10" s="264"/>
      <c r="E10" s="264"/>
      <c r="F10" s="264"/>
      <c r="G10" s="264"/>
      <c r="H10" s="264"/>
      <c r="I10" s="264"/>
      <c r="J10" s="264"/>
      <c r="K10" s="264"/>
      <c r="L10" s="264"/>
      <c r="M10" s="264"/>
      <c r="N10" s="264"/>
      <c r="O10" s="264"/>
    </row>
    <row r="12" spans="2:16" ht="12.75">
      <c r="B12" s="104" t="s">
        <v>294</v>
      </c>
    </row>
    <row r="13" spans="2:16" ht="51">
      <c r="B13" s="15"/>
      <c r="C13" s="16"/>
      <c r="D13" s="36" t="str">
        <f>D47</f>
        <v>Cremation</v>
      </c>
      <c r="E13" s="36" t="str">
        <f>E47</f>
        <v>Transfer to Crematorium</v>
      </c>
      <c r="F13" s="36" t="str">
        <f t="shared" ref="F13:J13" si="0">F47</f>
        <v>Witness Insertion</v>
      </c>
      <c r="G13" s="36" t="str">
        <f t="shared" ref="G13:H13" si="1">G47</f>
        <v>Collection of Ashes</v>
      </c>
      <c r="H13" s="36" t="str">
        <f t="shared" si="1"/>
        <v>Administration and Validation of Death Certificate</v>
      </c>
      <c r="I13" s="36" t="str">
        <f t="shared" ref="I13" si="2">I47</f>
        <v>Off Site Storage</v>
      </c>
      <c r="J13" s="36" t="str">
        <f t="shared" si="0"/>
        <v>Other Services</v>
      </c>
      <c r="K13" s="33"/>
      <c r="L13" s="16"/>
      <c r="M13" s="16"/>
      <c r="N13" s="16"/>
      <c r="O13" s="17"/>
    </row>
    <row r="14" spans="2:16" ht="4.9000000000000004" customHeight="1">
      <c r="B14" s="18"/>
      <c r="C14" s="9"/>
      <c r="D14" s="14"/>
      <c r="E14" s="14"/>
      <c r="F14" s="14"/>
      <c r="G14" s="14"/>
      <c r="H14" s="14"/>
      <c r="I14" s="14"/>
      <c r="J14" s="14"/>
      <c r="K14" s="10"/>
      <c r="L14" s="10"/>
      <c r="O14" s="19"/>
    </row>
    <row r="15" spans="2:16" ht="12.75">
      <c r="B15" s="18"/>
      <c r="C15" s="100" t="s">
        <v>295</v>
      </c>
      <c r="D15" s="108">
        <f>IF(D49&lt;=0,0,SUM(D25:D39)/D49)</f>
        <v>0</v>
      </c>
      <c r="E15" s="108">
        <f>IF(E49&lt;=0,0,SUM(E25:E39)/E49)</f>
        <v>0</v>
      </c>
      <c r="F15" s="108">
        <f t="shared" ref="F15:J15" si="3">IF(F49&lt;=0,0,SUM(F25:F39)/F49)</f>
        <v>0</v>
      </c>
      <c r="G15" s="108">
        <f t="shared" si="3"/>
        <v>0</v>
      </c>
      <c r="H15" s="108">
        <f t="shared" ref="H15:I15" si="4">IF(H49&lt;=0,0,SUM(H25:H39)/H49)</f>
        <v>0</v>
      </c>
      <c r="I15" s="108">
        <f t="shared" si="4"/>
        <v>0</v>
      </c>
      <c r="J15" s="108">
        <f t="shared" si="3"/>
        <v>0</v>
      </c>
      <c r="K15" s="111"/>
      <c r="L15" s="111"/>
      <c r="O15" s="19"/>
    </row>
    <row r="16" spans="2:16" ht="4.9000000000000004" customHeight="1">
      <c r="B16" s="18"/>
      <c r="C16" s="100"/>
      <c r="D16" s="109"/>
      <c r="E16" s="109"/>
      <c r="F16" s="109"/>
      <c r="G16" s="109"/>
      <c r="H16" s="109"/>
      <c r="I16" s="109"/>
      <c r="J16" s="109"/>
      <c r="K16" s="111"/>
      <c r="L16" s="111"/>
      <c r="O16" s="19"/>
    </row>
    <row r="17" spans="2:15" ht="12.75">
      <c r="B17" s="18"/>
      <c r="C17" s="100" t="s">
        <v>192</v>
      </c>
      <c r="D17" s="108">
        <f>IF(D49&lt;=0,0,D40/D49)</f>
        <v>0</v>
      </c>
      <c r="E17" s="108">
        <f>IF(E49&lt;=0,0,E40/E49)</f>
        <v>0</v>
      </c>
      <c r="F17" s="108">
        <f t="shared" ref="F17:J17" si="5">IF(F49&lt;=0,0,F40/F49)</f>
        <v>0</v>
      </c>
      <c r="G17" s="108">
        <f t="shared" si="5"/>
        <v>0</v>
      </c>
      <c r="H17" s="108">
        <f t="shared" ref="H17:I17" si="6">IF(H49&lt;=0,0,H40/H49)</f>
        <v>0</v>
      </c>
      <c r="I17" s="108">
        <f t="shared" si="6"/>
        <v>0</v>
      </c>
      <c r="J17" s="108">
        <f t="shared" si="5"/>
        <v>0</v>
      </c>
      <c r="K17" s="111"/>
      <c r="L17" s="111"/>
      <c r="O17" s="19"/>
    </row>
    <row r="18" spans="2:15" ht="4.9000000000000004" customHeight="1">
      <c r="B18" s="18"/>
      <c r="C18" s="100"/>
      <c r="D18" s="109"/>
      <c r="E18" s="109"/>
      <c r="F18" s="109"/>
      <c r="G18" s="109"/>
      <c r="H18" s="109"/>
      <c r="I18" s="109"/>
      <c r="J18" s="109"/>
      <c r="K18" s="111"/>
      <c r="L18" s="111"/>
      <c r="O18" s="19"/>
    </row>
    <row r="19" spans="2:15" ht="13.5" thickBot="1">
      <c r="B19" s="18"/>
      <c r="C19" s="103" t="s">
        <v>296</v>
      </c>
      <c r="D19" s="110">
        <f>IF(D49&lt;=0,0,D42/D49)</f>
        <v>0</v>
      </c>
      <c r="E19" s="110">
        <f>IF(E49&lt;=0,0,E42/E49)</f>
        <v>0</v>
      </c>
      <c r="F19" s="110">
        <f t="shared" ref="F19:J19" si="7">IF(F49&lt;=0,0,F42/F49)</f>
        <v>0</v>
      </c>
      <c r="G19" s="110">
        <f t="shared" si="7"/>
        <v>0</v>
      </c>
      <c r="H19" s="110">
        <f t="shared" ref="H19:I19" si="8">IF(H49&lt;=0,0,H42/H49)</f>
        <v>0</v>
      </c>
      <c r="I19" s="110">
        <f t="shared" si="8"/>
        <v>0</v>
      </c>
      <c r="J19" s="110">
        <f t="shared" si="7"/>
        <v>0</v>
      </c>
      <c r="K19" s="111"/>
      <c r="L19" s="111"/>
      <c r="M19" s="7"/>
      <c r="O19" s="19"/>
    </row>
    <row r="20" spans="2:15" ht="10.15" customHeight="1" thickTop="1">
      <c r="B20" s="20"/>
      <c r="C20" s="23"/>
      <c r="D20" s="141"/>
      <c r="E20" s="141"/>
      <c r="F20" s="141"/>
      <c r="G20" s="141"/>
      <c r="H20" s="141"/>
      <c r="I20" s="141"/>
      <c r="J20" s="141"/>
      <c r="K20" s="141"/>
      <c r="L20" s="141"/>
      <c r="M20" s="23"/>
      <c r="N20" s="23"/>
      <c r="O20" s="24"/>
    </row>
    <row r="21" spans="2:15" ht="12.75">
      <c r="C21" s="8"/>
      <c r="D21" s="111"/>
      <c r="E21" s="111"/>
      <c r="F21" s="111"/>
      <c r="G21" s="111"/>
      <c r="H21" s="111"/>
      <c r="I21" s="111"/>
      <c r="J21" s="111"/>
      <c r="K21" s="111"/>
      <c r="L21" s="111"/>
    </row>
    <row r="22" spans="2:15" ht="12.75">
      <c r="B22" s="104" t="s">
        <v>297</v>
      </c>
      <c r="C22" s="8"/>
      <c r="D22" s="111"/>
      <c r="E22" s="111"/>
      <c r="F22" s="111"/>
      <c r="G22" s="111"/>
      <c r="H22" s="111"/>
      <c r="I22" s="111"/>
      <c r="J22" s="111"/>
      <c r="K22" s="111"/>
      <c r="L22" s="111"/>
    </row>
    <row r="23" spans="2:15" ht="10.15" customHeight="1">
      <c r="B23" s="15"/>
      <c r="C23" s="32"/>
      <c r="D23" s="143"/>
      <c r="E23" s="143"/>
      <c r="F23" s="143"/>
      <c r="G23" s="143"/>
      <c r="H23" s="143"/>
      <c r="I23" s="143"/>
      <c r="J23" s="143"/>
      <c r="K23" s="142"/>
      <c r="L23" s="142"/>
      <c r="M23" s="16"/>
      <c r="N23" s="16"/>
      <c r="O23" s="17"/>
    </row>
    <row r="24" spans="2:15" ht="12.75">
      <c r="B24" s="18"/>
      <c r="C24" s="102" t="s">
        <v>298</v>
      </c>
      <c r="D24" s="112"/>
      <c r="E24" s="112"/>
      <c r="F24" s="112"/>
      <c r="G24" s="112"/>
      <c r="H24" s="112"/>
      <c r="I24" s="112"/>
      <c r="J24" s="112"/>
      <c r="K24" s="114"/>
      <c r="L24" s="114" t="s">
        <v>159</v>
      </c>
      <c r="N24" s="148"/>
      <c r="O24" s="19"/>
    </row>
    <row r="25" spans="2:15" ht="4.9000000000000004" customHeight="1">
      <c r="B25" s="18"/>
      <c r="C25" s="100"/>
      <c r="D25" s="112"/>
      <c r="E25" s="112"/>
      <c r="F25" s="112"/>
      <c r="G25" s="112"/>
      <c r="H25" s="112"/>
      <c r="I25" s="112"/>
      <c r="J25" s="112"/>
      <c r="K25" s="114"/>
      <c r="L25" s="114"/>
      <c r="N25" s="148"/>
      <c r="O25" s="19"/>
    </row>
    <row r="26" spans="2:15" ht="12.75">
      <c r="B26" s="18"/>
      <c r="C26" s="100" t="s">
        <v>220</v>
      </c>
      <c r="D26" s="112" t="e">
        <f t="shared" ref="D26:J26" si="9">D$54*$L26</f>
        <v>#DIV/0!</v>
      </c>
      <c r="E26" s="112" t="e">
        <f t="shared" si="9"/>
        <v>#DIV/0!</v>
      </c>
      <c r="F26" s="112" t="e">
        <f t="shared" si="9"/>
        <v>#DIV/0!</v>
      </c>
      <c r="G26" s="112" t="e">
        <f t="shared" si="9"/>
        <v>#DIV/0!</v>
      </c>
      <c r="H26" s="112" t="e">
        <f t="shared" si="9"/>
        <v>#DIV/0!</v>
      </c>
      <c r="I26" s="112" t="e">
        <f t="shared" si="9"/>
        <v>#DIV/0!</v>
      </c>
      <c r="J26" s="112" t="e">
        <f t="shared" si="9"/>
        <v>#DIV/0!</v>
      </c>
      <c r="K26" s="114"/>
      <c r="L26" s="113">
        <f>'Operating Costs Summary'!$F$9</f>
        <v>0</v>
      </c>
      <c r="M26" s="5"/>
      <c r="N26" s="13" t="s">
        <v>221</v>
      </c>
      <c r="O26" s="19"/>
    </row>
    <row r="27" spans="2:15" ht="4.9000000000000004" customHeight="1">
      <c r="B27" s="18"/>
      <c r="C27" s="100"/>
      <c r="D27" s="112"/>
      <c r="E27" s="112"/>
      <c r="F27" s="112"/>
      <c r="G27" s="112"/>
      <c r="H27" s="112"/>
      <c r="I27" s="112"/>
      <c r="J27" s="112"/>
      <c r="K27" s="114"/>
      <c r="L27" s="113"/>
      <c r="M27" s="5"/>
      <c r="N27" s="148"/>
      <c r="O27" s="19"/>
    </row>
    <row r="28" spans="2:15" ht="12.75">
      <c r="B28" s="18"/>
      <c r="C28" s="100" t="s">
        <v>222</v>
      </c>
      <c r="D28" s="112" t="e">
        <f t="shared" ref="D28:J28" si="10">D$54*$L28</f>
        <v>#DIV/0!</v>
      </c>
      <c r="E28" s="112" t="e">
        <f t="shared" si="10"/>
        <v>#DIV/0!</v>
      </c>
      <c r="F28" s="112" t="e">
        <f t="shared" si="10"/>
        <v>#DIV/0!</v>
      </c>
      <c r="G28" s="112" t="e">
        <f t="shared" si="10"/>
        <v>#DIV/0!</v>
      </c>
      <c r="H28" s="112" t="e">
        <f t="shared" si="10"/>
        <v>#DIV/0!</v>
      </c>
      <c r="I28" s="112" t="e">
        <f t="shared" si="10"/>
        <v>#DIV/0!</v>
      </c>
      <c r="J28" s="112" t="e">
        <f t="shared" si="10"/>
        <v>#DIV/0!</v>
      </c>
      <c r="K28" s="114"/>
      <c r="L28" s="113">
        <f>'Operating Costs Summary'!$F$10</f>
        <v>0</v>
      </c>
      <c r="M28" s="5"/>
      <c r="N28" s="13" t="s">
        <v>223</v>
      </c>
      <c r="O28" s="19"/>
    </row>
    <row r="29" spans="2:15" ht="4.1500000000000004" customHeight="1">
      <c r="B29" s="18"/>
      <c r="C29" s="100"/>
      <c r="D29" s="112"/>
      <c r="E29" s="112"/>
      <c r="F29" s="112"/>
      <c r="G29" s="112"/>
      <c r="H29" s="112"/>
      <c r="I29" s="112"/>
      <c r="J29" s="112"/>
      <c r="K29" s="114"/>
      <c r="L29" s="113"/>
      <c r="M29" s="5"/>
      <c r="N29" s="13"/>
      <c r="O29" s="19"/>
    </row>
    <row r="30" spans="2:15" ht="12.75">
      <c r="B30" s="18"/>
      <c r="C30" s="100" t="s">
        <v>299</v>
      </c>
      <c r="D30" s="112" t="e">
        <f t="shared" ref="D30:J30" si="11">D$57*$L$30</f>
        <v>#DIV/0!</v>
      </c>
      <c r="E30" s="112">
        <f t="shared" si="11"/>
        <v>0</v>
      </c>
      <c r="F30" s="112">
        <f t="shared" si="11"/>
        <v>0</v>
      </c>
      <c r="G30" s="112">
        <f t="shared" si="11"/>
        <v>0</v>
      </c>
      <c r="H30" s="112">
        <f t="shared" si="11"/>
        <v>0</v>
      </c>
      <c r="I30" s="112">
        <f t="shared" si="11"/>
        <v>0</v>
      </c>
      <c r="J30" s="112">
        <f t="shared" si="11"/>
        <v>0</v>
      </c>
      <c r="K30" s="114"/>
      <c r="L30" s="113">
        <f>'Operating Costs Summary'!$F$12</f>
        <v>0</v>
      </c>
      <c r="M30" s="5"/>
      <c r="N30" s="13" t="s">
        <v>300</v>
      </c>
      <c r="O30" s="19"/>
    </row>
    <row r="31" spans="2:15" ht="4.9000000000000004" customHeight="1">
      <c r="B31" s="18"/>
      <c r="C31" s="100"/>
      <c r="D31" s="112"/>
      <c r="E31" s="112"/>
      <c r="F31" s="112"/>
      <c r="G31" s="112"/>
      <c r="H31" s="112"/>
      <c r="I31" s="112"/>
      <c r="J31" s="112"/>
      <c r="K31" s="114"/>
      <c r="L31" s="113"/>
      <c r="M31" s="5"/>
      <c r="N31" s="148"/>
      <c r="O31" s="19"/>
    </row>
    <row r="32" spans="2:15" ht="12.75">
      <c r="B32" s="18"/>
      <c r="C32" s="100" t="s">
        <v>224</v>
      </c>
      <c r="D32" s="112" t="e">
        <f t="shared" ref="D32:J32" si="12">D$60*$L32</f>
        <v>#DIV/0!</v>
      </c>
      <c r="E32" s="112" t="e">
        <f t="shared" si="12"/>
        <v>#DIV/0!</v>
      </c>
      <c r="F32" s="112" t="e">
        <f t="shared" si="12"/>
        <v>#DIV/0!</v>
      </c>
      <c r="G32" s="112">
        <f t="shared" si="12"/>
        <v>0</v>
      </c>
      <c r="H32" s="112">
        <f t="shared" si="12"/>
        <v>0</v>
      </c>
      <c r="I32" s="112">
        <f t="shared" si="12"/>
        <v>0</v>
      </c>
      <c r="J32" s="112">
        <f t="shared" si="12"/>
        <v>0</v>
      </c>
      <c r="K32" s="114"/>
      <c r="L32" s="113">
        <f>'Operating Costs Summary'!$F$13</f>
        <v>0</v>
      </c>
      <c r="M32" s="5"/>
      <c r="N32" s="13" t="s">
        <v>225</v>
      </c>
      <c r="O32" s="19"/>
    </row>
    <row r="33" spans="2:15" ht="4.9000000000000004" customHeight="1">
      <c r="B33" s="18"/>
      <c r="C33" s="100"/>
      <c r="D33" s="112"/>
      <c r="E33" s="112"/>
      <c r="F33" s="112"/>
      <c r="G33" s="112"/>
      <c r="H33" s="112"/>
      <c r="I33" s="112"/>
      <c r="J33" s="112"/>
      <c r="K33" s="114"/>
      <c r="L33" s="113"/>
      <c r="M33" s="5"/>
      <c r="N33" s="148"/>
      <c r="O33" s="19"/>
    </row>
    <row r="34" spans="2:15" ht="12.75">
      <c r="B34" s="18"/>
      <c r="C34" s="100" t="s">
        <v>226</v>
      </c>
      <c r="D34" s="112" t="e">
        <f t="shared" ref="D34:J34" si="13">D$60*$L34</f>
        <v>#DIV/0!</v>
      </c>
      <c r="E34" s="112" t="e">
        <f t="shared" si="13"/>
        <v>#DIV/0!</v>
      </c>
      <c r="F34" s="112" t="e">
        <f t="shared" si="13"/>
        <v>#DIV/0!</v>
      </c>
      <c r="G34" s="112">
        <f t="shared" si="13"/>
        <v>0</v>
      </c>
      <c r="H34" s="112">
        <f t="shared" si="13"/>
        <v>0</v>
      </c>
      <c r="I34" s="112">
        <f t="shared" si="13"/>
        <v>0</v>
      </c>
      <c r="J34" s="112">
        <f t="shared" si="13"/>
        <v>0</v>
      </c>
      <c r="K34" s="114"/>
      <c r="L34" s="113">
        <f>'Operating Costs Summary'!$F$14</f>
        <v>0</v>
      </c>
      <c r="M34" s="5"/>
      <c r="N34" s="13" t="s">
        <v>227</v>
      </c>
      <c r="O34" s="19"/>
    </row>
    <row r="35" spans="2:15" ht="4.9000000000000004" customHeight="1">
      <c r="B35" s="18"/>
      <c r="C35" s="100"/>
      <c r="D35" s="112"/>
      <c r="E35" s="112"/>
      <c r="F35" s="112"/>
      <c r="G35" s="112"/>
      <c r="H35" s="112"/>
      <c r="I35" s="112"/>
      <c r="J35" s="112"/>
      <c r="K35" s="114"/>
      <c r="L35" s="113"/>
      <c r="M35" s="5"/>
      <c r="N35" s="148"/>
      <c r="O35" s="19"/>
    </row>
    <row r="36" spans="2:15" ht="12.75">
      <c r="B36" s="18"/>
      <c r="C36" s="100" t="s">
        <v>228</v>
      </c>
      <c r="D36" s="112" t="e">
        <f t="shared" ref="D36:J36" si="14">D$54*$L36</f>
        <v>#DIV/0!</v>
      </c>
      <c r="E36" s="112" t="e">
        <f t="shared" si="14"/>
        <v>#DIV/0!</v>
      </c>
      <c r="F36" s="112" t="e">
        <f t="shared" si="14"/>
        <v>#DIV/0!</v>
      </c>
      <c r="G36" s="112" t="e">
        <f t="shared" si="14"/>
        <v>#DIV/0!</v>
      </c>
      <c r="H36" s="112" t="e">
        <f t="shared" si="14"/>
        <v>#DIV/0!</v>
      </c>
      <c r="I36" s="112" t="e">
        <f t="shared" si="14"/>
        <v>#DIV/0!</v>
      </c>
      <c r="J36" s="112" t="e">
        <f t="shared" si="14"/>
        <v>#DIV/0!</v>
      </c>
      <c r="K36" s="114"/>
      <c r="L36" s="113">
        <f>'Operating Costs Summary'!$F$15</f>
        <v>0</v>
      </c>
      <c r="M36" s="5"/>
      <c r="N36" s="13" t="s">
        <v>229</v>
      </c>
      <c r="O36" s="19"/>
    </row>
    <row r="37" spans="2:15" ht="4.9000000000000004" customHeight="1">
      <c r="B37" s="18"/>
      <c r="C37" s="100"/>
      <c r="D37" s="112"/>
      <c r="E37" s="112"/>
      <c r="F37" s="112"/>
      <c r="G37" s="112"/>
      <c r="H37" s="112"/>
      <c r="I37" s="112"/>
      <c r="J37" s="112"/>
      <c r="K37" s="114"/>
      <c r="L37" s="113"/>
      <c r="M37" s="5"/>
      <c r="N37" s="13"/>
      <c r="O37" s="19"/>
    </row>
    <row r="38" spans="2:15" ht="12.75">
      <c r="B38" s="18"/>
      <c r="C38" s="100" t="s">
        <v>230</v>
      </c>
      <c r="D38" s="112" t="e">
        <f t="shared" ref="D38:J38" si="15">D$63*$L38</f>
        <v>#DIV/0!</v>
      </c>
      <c r="E38" s="112">
        <f t="shared" si="15"/>
        <v>0</v>
      </c>
      <c r="F38" s="112" t="e">
        <f t="shared" si="15"/>
        <v>#DIV/0!</v>
      </c>
      <c r="G38" s="112">
        <f t="shared" si="15"/>
        <v>0</v>
      </c>
      <c r="H38" s="112">
        <f t="shared" si="15"/>
        <v>0</v>
      </c>
      <c r="I38" s="112">
        <f t="shared" si="15"/>
        <v>0</v>
      </c>
      <c r="J38" s="112">
        <f t="shared" si="15"/>
        <v>0</v>
      </c>
      <c r="K38" s="114"/>
      <c r="L38" s="113">
        <f>'Operating Costs Summary'!$F$16</f>
        <v>0</v>
      </c>
      <c r="M38" s="5"/>
      <c r="N38" s="13" t="s">
        <v>231</v>
      </c>
      <c r="O38" s="19"/>
    </row>
    <row r="39" spans="2:15" ht="4.9000000000000004" customHeight="1">
      <c r="B39" s="18"/>
      <c r="C39" s="100"/>
      <c r="D39" s="112"/>
      <c r="E39" s="112"/>
      <c r="F39" s="112"/>
      <c r="G39" s="112"/>
      <c r="H39" s="112"/>
      <c r="I39" s="112"/>
      <c r="J39" s="112"/>
      <c r="K39" s="114"/>
      <c r="L39" s="113"/>
      <c r="M39" s="5"/>
      <c r="N39" s="148"/>
      <c r="O39" s="19"/>
    </row>
    <row r="40" spans="2:15" ht="12.75">
      <c r="B40" s="18"/>
      <c r="C40" s="100" t="s">
        <v>232</v>
      </c>
      <c r="D40" s="112" t="e">
        <f t="shared" ref="D40:J40" si="16">D$54*$L40</f>
        <v>#DIV/0!</v>
      </c>
      <c r="E40" s="112" t="e">
        <f t="shared" si="16"/>
        <v>#DIV/0!</v>
      </c>
      <c r="F40" s="112" t="e">
        <f t="shared" si="16"/>
        <v>#DIV/0!</v>
      </c>
      <c r="G40" s="112" t="e">
        <f t="shared" si="16"/>
        <v>#DIV/0!</v>
      </c>
      <c r="H40" s="112" t="e">
        <f t="shared" si="16"/>
        <v>#DIV/0!</v>
      </c>
      <c r="I40" s="112" t="e">
        <f t="shared" si="16"/>
        <v>#DIV/0!</v>
      </c>
      <c r="J40" s="112" t="e">
        <f t="shared" si="16"/>
        <v>#DIV/0!</v>
      </c>
      <c r="K40" s="114"/>
      <c r="L40" s="113">
        <f>'Operating Costs Summary'!$F$18</f>
        <v>0</v>
      </c>
      <c r="M40" s="5"/>
      <c r="N40" s="13" t="s">
        <v>233</v>
      </c>
      <c r="O40" s="19"/>
    </row>
    <row r="41" spans="2:15" ht="4.9000000000000004" customHeight="1">
      <c r="B41" s="18"/>
      <c r="C41" s="100"/>
      <c r="D41" s="112"/>
      <c r="E41" s="112"/>
      <c r="F41" s="112"/>
      <c r="G41" s="112"/>
      <c r="H41" s="112"/>
      <c r="I41" s="112"/>
      <c r="J41" s="112"/>
      <c r="K41" s="114"/>
      <c r="L41" s="114"/>
      <c r="N41" s="148"/>
      <c r="O41" s="19"/>
    </row>
    <row r="42" spans="2:15" ht="13.5" thickBot="1">
      <c r="B42" s="18"/>
      <c r="C42" s="103" t="s">
        <v>234</v>
      </c>
      <c r="D42" s="145" t="e">
        <f t="shared" ref="D42:J42" si="17">SUM(D25:D41)</f>
        <v>#DIV/0!</v>
      </c>
      <c r="E42" s="145" t="e">
        <f t="shared" si="17"/>
        <v>#DIV/0!</v>
      </c>
      <c r="F42" s="145" t="e">
        <f t="shared" si="17"/>
        <v>#DIV/0!</v>
      </c>
      <c r="G42" s="145" t="e">
        <f t="shared" si="17"/>
        <v>#DIV/0!</v>
      </c>
      <c r="H42" s="145" t="e">
        <f t="shared" si="17"/>
        <v>#DIV/0!</v>
      </c>
      <c r="I42" s="145" t="e">
        <f t="shared" si="17"/>
        <v>#DIV/0!</v>
      </c>
      <c r="J42" s="145" t="e">
        <f t="shared" si="17"/>
        <v>#DIV/0!</v>
      </c>
      <c r="K42" s="146"/>
      <c r="L42" s="147">
        <f>SUM(L25:L41)</f>
        <v>0</v>
      </c>
      <c r="M42" s="7"/>
      <c r="N42" s="148"/>
      <c r="O42" s="19"/>
    </row>
    <row r="43" spans="2:15" ht="10.15" customHeight="1" thickTop="1">
      <c r="B43" s="20"/>
      <c r="C43" s="21"/>
      <c r="D43" s="22"/>
      <c r="E43" s="22"/>
      <c r="F43" s="22"/>
      <c r="G43" s="22"/>
      <c r="H43" s="22"/>
      <c r="I43" s="22"/>
      <c r="J43" s="22"/>
      <c r="K43" s="22"/>
      <c r="L43" s="22"/>
      <c r="M43" s="23"/>
      <c r="N43" s="149"/>
      <c r="O43" s="24"/>
    </row>
    <row r="44" spans="2:15" ht="12.75">
      <c r="D44" s="10"/>
      <c r="E44" s="10"/>
      <c r="F44" s="10"/>
      <c r="G44" s="10"/>
      <c r="H44" s="10"/>
      <c r="I44" s="10"/>
      <c r="J44" s="10"/>
      <c r="K44" s="10"/>
      <c r="L44" s="10"/>
      <c r="N44" s="148"/>
    </row>
    <row r="45" spans="2:15" ht="12.75">
      <c r="B45" s="104" t="s">
        <v>301</v>
      </c>
      <c r="D45" s="25"/>
      <c r="E45" s="25"/>
      <c r="F45" s="25"/>
      <c r="G45" s="25"/>
      <c r="H45" s="25"/>
      <c r="I45" s="25"/>
      <c r="J45" s="25"/>
      <c r="K45" s="25"/>
      <c r="M45" s="25"/>
      <c r="N45" s="150">
        <f>N13</f>
        <v>0</v>
      </c>
    </row>
    <row r="46" spans="2:15" ht="12">
      <c r="B46" s="15"/>
      <c r="C46" s="16"/>
      <c r="D46" s="16"/>
      <c r="E46" s="16"/>
      <c r="F46" s="16"/>
      <c r="G46" s="16"/>
      <c r="H46" s="16"/>
      <c r="I46" s="16"/>
      <c r="J46" s="16"/>
      <c r="K46" s="16"/>
      <c r="L46" s="16"/>
      <c r="M46" s="16"/>
      <c r="N46" s="151"/>
      <c r="O46" s="17"/>
    </row>
    <row r="47" spans="2:15" ht="51">
      <c r="B47" s="18"/>
      <c r="C47" s="326" t="s">
        <v>302</v>
      </c>
      <c r="D47" s="389" t="s">
        <v>130</v>
      </c>
      <c r="E47" s="389" t="s">
        <v>303</v>
      </c>
      <c r="F47" s="389" t="s">
        <v>150</v>
      </c>
      <c r="G47" s="389" t="s">
        <v>154</v>
      </c>
      <c r="H47" s="389" t="s">
        <v>138</v>
      </c>
      <c r="I47" s="389" t="s">
        <v>134</v>
      </c>
      <c r="J47" s="389" t="s">
        <v>304</v>
      </c>
      <c r="K47" s="27"/>
      <c r="L47" s="25" t="s">
        <v>159</v>
      </c>
      <c r="N47" s="390" t="s">
        <v>305</v>
      </c>
      <c r="O47" s="19"/>
    </row>
    <row r="48" spans="2:15" ht="4.9000000000000004" customHeight="1">
      <c r="B48" s="18"/>
      <c r="C48" s="59"/>
      <c r="D48" s="373"/>
      <c r="E48" s="373"/>
      <c r="F48" s="373"/>
      <c r="G48" s="373"/>
      <c r="H48" s="373"/>
      <c r="I48" s="373"/>
      <c r="J48" s="373"/>
      <c r="K48" s="27"/>
      <c r="L48" s="27"/>
      <c r="N48" s="374"/>
      <c r="O48" s="19"/>
    </row>
    <row r="49" spans="2:15" ht="12.75">
      <c r="B49" s="18"/>
      <c r="C49" s="100" t="s">
        <v>306</v>
      </c>
      <c r="D49" s="391"/>
      <c r="E49" s="391"/>
      <c r="F49" s="391"/>
      <c r="G49" s="391"/>
      <c r="H49" s="391"/>
      <c r="I49" s="391"/>
      <c r="J49" s="391"/>
      <c r="K49" s="375"/>
      <c r="L49" s="376">
        <f>SUM(D49:J49)</f>
        <v>0</v>
      </c>
      <c r="M49" s="377"/>
      <c r="N49" s="390" t="s">
        <v>307</v>
      </c>
      <c r="O49" s="19"/>
    </row>
    <row r="50" spans="2:15" ht="4.9000000000000004" customHeight="1">
      <c r="B50" s="18"/>
      <c r="C50" s="100"/>
      <c r="D50" s="378"/>
      <c r="E50" s="378"/>
      <c r="F50" s="378"/>
      <c r="G50" s="378"/>
      <c r="H50" s="378"/>
      <c r="I50" s="378"/>
      <c r="J50" s="378"/>
      <c r="K50" s="375"/>
      <c r="L50" s="379"/>
      <c r="M50" s="377"/>
      <c r="N50" s="374"/>
      <c r="O50" s="19"/>
    </row>
    <row r="51" spans="2:15" ht="12.75">
      <c r="B51" s="18"/>
      <c r="C51" s="100" t="s">
        <v>308</v>
      </c>
      <c r="D51" s="392"/>
      <c r="E51" s="392"/>
      <c r="F51" s="392"/>
      <c r="G51" s="392"/>
      <c r="H51" s="392"/>
      <c r="I51" s="392"/>
      <c r="J51" s="392"/>
      <c r="K51" s="375"/>
      <c r="L51" s="379"/>
      <c r="M51" s="377"/>
      <c r="N51" s="390" t="s">
        <v>309</v>
      </c>
      <c r="O51" s="19"/>
    </row>
    <row r="52" spans="2:15" ht="4.9000000000000004" customHeight="1">
      <c r="B52" s="18"/>
      <c r="C52" s="100"/>
      <c r="D52" s="378"/>
      <c r="E52" s="378"/>
      <c r="F52" s="378"/>
      <c r="G52" s="378"/>
      <c r="H52" s="378"/>
      <c r="I52" s="378"/>
      <c r="J52" s="378"/>
      <c r="K52" s="375"/>
      <c r="L52" s="379"/>
      <c r="M52" s="377"/>
      <c r="N52" s="374"/>
      <c r="O52" s="19"/>
    </row>
    <row r="53" spans="2:15" ht="12.75">
      <c r="B53" s="18"/>
      <c r="C53" s="100" t="s">
        <v>247</v>
      </c>
      <c r="D53" s="378">
        <f>D49*D51</f>
        <v>0</v>
      </c>
      <c r="E53" s="378">
        <f t="shared" ref="E53:J53" si="18">E49*E51</f>
        <v>0</v>
      </c>
      <c r="F53" s="378">
        <f t="shared" ref="F53:G53" si="19">F49*F51</f>
        <v>0</v>
      </c>
      <c r="G53" s="378">
        <f t="shared" si="19"/>
        <v>0</v>
      </c>
      <c r="H53" s="378">
        <f t="shared" ref="H53:I53" si="20">H49*H51</f>
        <v>0</v>
      </c>
      <c r="I53" s="378">
        <f t="shared" si="20"/>
        <v>0</v>
      </c>
      <c r="J53" s="378">
        <f t="shared" si="18"/>
        <v>0</v>
      </c>
      <c r="K53" s="375"/>
      <c r="L53" s="380">
        <f>SUM(D53:J53)</f>
        <v>0</v>
      </c>
      <c r="M53" s="377"/>
      <c r="N53" s="374"/>
      <c r="O53" s="19"/>
    </row>
    <row r="54" spans="2:15" ht="12.75">
      <c r="B54" s="18"/>
      <c r="C54" s="100" t="s">
        <v>284</v>
      </c>
      <c r="D54" s="381" t="e">
        <f t="shared" ref="D54:J54" si="21">D53/$L$53</f>
        <v>#DIV/0!</v>
      </c>
      <c r="E54" s="381" t="e">
        <f t="shared" si="21"/>
        <v>#DIV/0!</v>
      </c>
      <c r="F54" s="381" t="e">
        <f t="shared" si="21"/>
        <v>#DIV/0!</v>
      </c>
      <c r="G54" s="381" t="e">
        <f t="shared" si="21"/>
        <v>#DIV/0!</v>
      </c>
      <c r="H54" s="381" t="e">
        <f t="shared" si="21"/>
        <v>#DIV/0!</v>
      </c>
      <c r="I54" s="381" t="e">
        <f t="shared" si="21"/>
        <v>#DIV/0!</v>
      </c>
      <c r="J54" s="381" t="e">
        <f t="shared" si="21"/>
        <v>#DIV/0!</v>
      </c>
      <c r="K54" s="375"/>
      <c r="L54" s="382" t="e">
        <f>SUM(D54:J54)</f>
        <v>#DIV/0!</v>
      </c>
      <c r="M54" s="383"/>
      <c r="N54" s="374"/>
      <c r="O54" s="19"/>
    </row>
    <row r="55" spans="2:15" ht="12.75">
      <c r="B55" s="18"/>
      <c r="C55" s="100"/>
      <c r="D55" s="384"/>
      <c r="E55" s="384"/>
      <c r="F55" s="384"/>
      <c r="G55" s="384"/>
      <c r="H55" s="384"/>
      <c r="I55" s="384"/>
      <c r="J55" s="384"/>
      <c r="K55" s="375"/>
      <c r="L55" s="375"/>
      <c r="N55" s="374"/>
      <c r="O55" s="19"/>
    </row>
    <row r="56" spans="2:15" ht="24">
      <c r="B56" s="18"/>
      <c r="C56" s="100" t="s">
        <v>310</v>
      </c>
      <c r="D56" s="171" t="s">
        <v>250</v>
      </c>
      <c r="E56" s="171"/>
      <c r="F56" s="171"/>
      <c r="G56" s="171"/>
      <c r="H56" s="171"/>
      <c r="I56" s="171"/>
      <c r="J56" s="171"/>
      <c r="K56" s="375"/>
      <c r="L56" s="385"/>
      <c r="M56" s="386"/>
      <c r="N56" s="393" t="s">
        <v>311</v>
      </c>
      <c r="O56" s="19"/>
    </row>
    <row r="57" spans="2:15" ht="12.75">
      <c r="B57" s="18"/>
      <c r="C57" s="100" t="s">
        <v>312</v>
      </c>
      <c r="D57" s="381" t="e">
        <f>IF(D$56="Yes",D$49/SUMIFS($D$49:$J$49,$D$56:$J$56,"Yes"),0)</f>
        <v>#DIV/0!</v>
      </c>
      <c r="E57" s="381">
        <f t="shared" ref="E57:J57" si="22">IF(E$56="Yes",E$49/SUMIFS($D$49:$J$49,$D$56:$J$56,"Yes"),0)</f>
        <v>0</v>
      </c>
      <c r="F57" s="381">
        <f t="shared" si="22"/>
        <v>0</v>
      </c>
      <c r="G57" s="381">
        <f t="shared" si="22"/>
        <v>0</v>
      </c>
      <c r="H57" s="381">
        <f t="shared" si="22"/>
        <v>0</v>
      </c>
      <c r="I57" s="381">
        <f t="shared" si="22"/>
        <v>0</v>
      </c>
      <c r="J57" s="381">
        <f t="shared" si="22"/>
        <v>0</v>
      </c>
      <c r="K57" s="375"/>
      <c r="L57" s="382" t="e">
        <f>SUM(D57:J57)</f>
        <v>#DIV/0!</v>
      </c>
      <c r="M57" s="386"/>
      <c r="N57" s="374"/>
      <c r="O57" s="19"/>
    </row>
    <row r="58" spans="2:15" ht="12.75">
      <c r="B58" s="18"/>
      <c r="C58" s="100"/>
      <c r="D58" s="375"/>
      <c r="E58" s="375"/>
      <c r="F58" s="375"/>
      <c r="G58" s="375"/>
      <c r="H58" s="375"/>
      <c r="I58" s="375"/>
      <c r="J58" s="375"/>
      <c r="K58" s="375"/>
      <c r="L58" s="375"/>
      <c r="N58" s="374"/>
      <c r="O58" s="19"/>
    </row>
    <row r="59" spans="2:15" ht="24">
      <c r="B59" s="18"/>
      <c r="C59" s="100" t="s">
        <v>313</v>
      </c>
      <c r="D59" s="171" t="s">
        <v>250</v>
      </c>
      <c r="E59" s="171" t="s">
        <v>250</v>
      </c>
      <c r="F59" s="171" t="s">
        <v>250</v>
      </c>
      <c r="G59" s="171"/>
      <c r="H59" s="171"/>
      <c r="I59" s="171"/>
      <c r="J59" s="171"/>
      <c r="K59" s="375"/>
      <c r="L59" s="385"/>
      <c r="M59" s="386"/>
      <c r="N59" s="390" t="s">
        <v>314</v>
      </c>
      <c r="O59" s="19"/>
    </row>
    <row r="60" spans="2:15" ht="12.75">
      <c r="B60" s="18"/>
      <c r="C60" s="100" t="s">
        <v>287</v>
      </c>
      <c r="D60" s="381" t="e">
        <f t="shared" ref="D60:I60" si="23">IF(D$59="Yes",D$49/SUMIFS($D$49:$J$49,$D$59:$J$59,"Yes"),0)</f>
        <v>#DIV/0!</v>
      </c>
      <c r="E60" s="381" t="e">
        <f t="shared" si="23"/>
        <v>#DIV/0!</v>
      </c>
      <c r="F60" s="381" t="e">
        <f t="shared" si="23"/>
        <v>#DIV/0!</v>
      </c>
      <c r="G60" s="381">
        <f t="shared" si="23"/>
        <v>0</v>
      </c>
      <c r="H60" s="381">
        <f t="shared" si="23"/>
        <v>0</v>
      </c>
      <c r="I60" s="381">
        <f t="shared" si="23"/>
        <v>0</v>
      </c>
      <c r="J60" s="381">
        <f>IF(J$59="Yes",J$49/SUMIFS($D$49:$J$49,$D$59:$J$59,"Yes"),0)</f>
        <v>0</v>
      </c>
      <c r="K60" s="375"/>
      <c r="L60" s="382" t="e">
        <f>SUM(D60:J60)</f>
        <v>#DIV/0!</v>
      </c>
      <c r="M60" s="386"/>
      <c r="N60" s="374"/>
      <c r="O60" s="19"/>
    </row>
    <row r="61" spans="2:15" ht="4.9000000000000004" customHeight="1">
      <c r="B61" s="18"/>
      <c r="C61" s="100"/>
      <c r="D61" s="387"/>
      <c r="E61" s="387"/>
      <c r="F61" s="387"/>
      <c r="G61" s="387"/>
      <c r="H61" s="387"/>
      <c r="I61" s="387"/>
      <c r="J61" s="387"/>
      <c r="K61" s="375"/>
      <c r="L61" s="375"/>
      <c r="M61" s="386"/>
      <c r="N61" s="388"/>
      <c r="O61" s="19"/>
    </row>
    <row r="62" spans="2:15" ht="12.75">
      <c r="B62" s="18"/>
      <c r="C62" s="100" t="s">
        <v>253</v>
      </c>
      <c r="D62" s="171" t="s">
        <v>250</v>
      </c>
      <c r="E62" s="171"/>
      <c r="F62" s="171" t="s">
        <v>250</v>
      </c>
      <c r="G62" s="171"/>
      <c r="H62" s="171"/>
      <c r="I62" s="171"/>
      <c r="J62" s="171"/>
      <c r="K62" s="375"/>
      <c r="L62" s="385"/>
      <c r="M62" s="386"/>
      <c r="N62" s="172" t="s">
        <v>254</v>
      </c>
      <c r="O62" s="19"/>
    </row>
    <row r="63" spans="2:15" ht="12.75">
      <c r="B63" s="18"/>
      <c r="C63" s="100" t="s">
        <v>255</v>
      </c>
      <c r="D63" s="381" t="e">
        <f t="shared" ref="D63:J63" si="24">IF(D$62="Yes",D$49/SUMIFS($D$49:$J$49,$D$62:$J$62,"Yes"),0)</f>
        <v>#DIV/0!</v>
      </c>
      <c r="E63" s="381">
        <f t="shared" si="24"/>
        <v>0</v>
      </c>
      <c r="F63" s="381" t="e">
        <f t="shared" si="24"/>
        <v>#DIV/0!</v>
      </c>
      <c r="G63" s="381">
        <f t="shared" si="24"/>
        <v>0</v>
      </c>
      <c r="H63" s="381">
        <f t="shared" si="24"/>
        <v>0</v>
      </c>
      <c r="I63" s="381">
        <f t="shared" si="24"/>
        <v>0</v>
      </c>
      <c r="J63" s="381">
        <f t="shared" si="24"/>
        <v>0</v>
      </c>
      <c r="K63" s="375"/>
      <c r="L63" s="382" t="e">
        <f>SUM(D63:J63)</f>
        <v>#DIV/0!</v>
      </c>
      <c r="M63" s="386"/>
      <c r="N63" s="374"/>
      <c r="O63" s="19"/>
    </row>
    <row r="64" spans="2:15" ht="10.15" customHeight="1">
      <c r="B64" s="20"/>
      <c r="C64" s="21"/>
      <c r="D64" s="22"/>
      <c r="E64" s="22"/>
      <c r="F64" s="22"/>
      <c r="G64" s="22"/>
      <c r="H64" s="22"/>
      <c r="I64" s="22"/>
      <c r="J64" s="22"/>
      <c r="K64" s="22"/>
      <c r="L64" s="22"/>
      <c r="M64" s="23"/>
      <c r="N64" s="23"/>
      <c r="O64" s="24"/>
    </row>
  </sheetData>
  <sheetProtection sheet="1" objects="1" scenarios="1"/>
  <dataValidations count="1">
    <dataValidation type="list" allowBlank="1" showInputMessage="1" showErrorMessage="1" sqref="D56:J56 D59:J59 D62:J62" xr:uid="{00000000-0002-0000-0800-000000000000}">
      <formula1>"Yes,No"</formula1>
    </dataValidation>
  </dataValidations>
  <hyperlinks>
    <hyperlink ref="N26" location="Inputs_SalariesWages" display="Update_Salaries_and_Wages" xr:uid="{00000000-0004-0000-0800-000000000000}"/>
    <hyperlink ref="N28" location="Inputs_OtherStaffCosts" display="Update_Other_Staff_Costs" xr:uid="{00000000-0004-0000-0800-000001000000}"/>
    <hyperlink ref="N32" location="Input_CapitalAllocation" display="Update_Capital_Allocation" xr:uid="{00000000-0004-0000-0800-000002000000}"/>
    <hyperlink ref="N34" location="Inputs_PlantEquipemtCosts" display="Update_Plant_and_Equipment_Costs" xr:uid="{00000000-0004-0000-0800-000003000000}"/>
    <hyperlink ref="N36" location="Input_OtherOperatingCosts" display="&gt;&gt;&gt; Update_Other_Costs" xr:uid="{00000000-0004-0000-0800-000004000000}"/>
    <hyperlink ref="N40" location="Inputs_AdministrativeCosts" display="Update_Administration_Costs" xr:uid="{00000000-0004-0000-0800-000005000000}"/>
    <hyperlink ref="N30" location="Inputs_CremationCosts" display="&gt;&gt;&gt; Update_Crematorium_Costs" xr:uid="{00000000-0004-0000-0800-000006000000}"/>
    <hyperlink ref="N56" location="Inputs_CremationCosts" display="Select 'Yes' if service incurrs direct crematorium costs (click here to view costs)" xr:uid="{00000000-0004-0000-0800-000007000000}"/>
    <hyperlink ref="N38" location="Input_ThirdParty" display="&gt;&gt;&gt; Update_Third Party Costs" xr:uid="{00000000-0004-0000-0800-000008000000}"/>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65f1930-19d8-4e0c-8295-56da7cfca5cc">
      <Terms xmlns="http://schemas.microsoft.com/office/infopath/2007/PartnerControls"/>
    </lcf76f155ced4ddcb4097134ff3c332f>
    <TaxCatchAll xmlns="0dcadc63-629f-4c0c-a327-0f7eceea4b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BA907653CCEC41A2E8CE23A0E39136" ma:contentTypeVersion="17" ma:contentTypeDescription="Create a new document." ma:contentTypeScope="" ma:versionID="ce038c9bed4d208a526ef3a6975e858e">
  <xsd:schema xmlns:xsd="http://www.w3.org/2001/XMLSchema" xmlns:xs="http://www.w3.org/2001/XMLSchema" xmlns:p="http://schemas.microsoft.com/office/2006/metadata/properties" xmlns:ns2="065f1930-19d8-4e0c-8295-56da7cfca5cc" xmlns:ns3="0dcadc63-629f-4c0c-a327-0f7eceea4b3e" targetNamespace="http://schemas.microsoft.com/office/2006/metadata/properties" ma:root="true" ma:fieldsID="ccc3330d527f0cb83f07e0c2ec6aeb58" ns2:_="" ns3:_="">
    <xsd:import namespace="065f1930-19d8-4e0c-8295-56da7cfca5cc"/>
    <xsd:import namespace="0dcadc63-629f-4c0c-a327-0f7eceea4b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5f1930-19d8-4e0c-8295-56da7cfca5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cadc63-629f-4c0c-a327-0f7eceea4b3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0528ed2-3447-49a1-be26-e55ae7160c0a}" ma:internalName="TaxCatchAll" ma:showField="CatchAllData" ma:web="0dcadc63-629f-4c0c-a327-0f7eceea4b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A7E330-E6D1-4CA6-B34E-188693F90801}"/>
</file>

<file path=customXml/itemProps2.xml><?xml version="1.0" encoding="utf-8"?>
<ds:datastoreItem xmlns:ds="http://schemas.openxmlformats.org/officeDocument/2006/customXml" ds:itemID="{B7746CE2-AD28-4F8E-88F6-0D4D082B41D3}"/>
</file>

<file path=customXml/itemProps3.xml><?xml version="1.0" encoding="utf-8"?>
<ds:datastoreItem xmlns:ds="http://schemas.openxmlformats.org/officeDocument/2006/customXml" ds:itemID="{C3662EF2-3C31-4EAC-86CD-D4054C40EF4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SLF</dc:creator>
  <cp:keywords/>
  <dc:description/>
  <cp:lastModifiedBy>Heather Attenbrow</cp:lastModifiedBy>
  <cp:revision/>
  <dcterms:created xsi:type="dcterms:W3CDTF">2014-10-09T23:14:47Z</dcterms:created>
  <dcterms:modified xsi:type="dcterms:W3CDTF">2023-12-12T01:15:19Z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0x010100A4BA907653CCEC41A2E8CE23A0E39136</vt:lpwstr>
  </property>
  <property fmtid="{D5CDD505-2E9C-101B-9397-08002B2CF9AE}" pid="3" name="MediaServiceImageTags">
    <vt:lpwstr/>
  </property>
</Properties>
</file>